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wald\Downloads\"/>
    </mc:Choice>
  </mc:AlternateContent>
  <xr:revisionPtr revIDLastSave="0" documentId="13_ncr:1_{2F898830-2CE8-43E4-B179-6F8E76A66E10}" xr6:coauthVersionLast="47" xr6:coauthVersionMax="47" xr10:uidLastSave="{00000000-0000-0000-0000-000000000000}"/>
  <bookViews>
    <workbookView xWindow="34740" yWindow="9200" windowWidth="21600" windowHeight="9340" firstSheet="5" activeTab="7" xr2:uid="{00000000-000D-0000-FFFF-FFFF00000000}"/>
  </bookViews>
  <sheets>
    <sheet name="Ansprechpartner" sheetId="1" r:id="rId1"/>
    <sheet name=" Übersicht Umsätze " sheetId="15" r:id="rId2"/>
    <sheet name=" Übersicht Reichweite all" sheetId="16" r:id="rId3"/>
    <sheet name=" Übersicht Reichweite Video" sheetId="18" r:id="rId4"/>
    <sheet name=" Übersicht eCPM" sheetId="21" r:id="rId5"/>
    <sheet name="Cashflow" sheetId="17" r:id="rId6"/>
    <sheet name="Basisdaten Rev" sheetId="13" r:id="rId7"/>
    <sheet name="Basisdaten Reach" sheetId="14" r:id="rId8"/>
    <sheet name="Liquiditätsübersicht" sheetId="11" r:id="rId9"/>
    <sheet name="Übersicht Feeds" sheetId="20" r:id="rId10"/>
    <sheet name="Video Elephant" sheetId="19" r:id="rId11"/>
  </sheets>
  <externalReferences>
    <externalReference r:id="rId12"/>
  </externalReferences>
  <definedNames>
    <definedName name="_1Excel_BuiltIn__FilterDatabase_1">Ansprechpartner!$A$5:$I$5</definedName>
    <definedName name="_AMO92" localSheetId="4">#REF!</definedName>
    <definedName name="_AMO92" localSheetId="2">#REF!</definedName>
    <definedName name="_AMO92" localSheetId="3">#REF!</definedName>
    <definedName name="_AMO92" localSheetId="1">#REF!</definedName>
    <definedName name="_AMO92" localSheetId="5">#REF!</definedName>
    <definedName name="_AMO92">#REF!</definedName>
    <definedName name="_AMO93" localSheetId="4">#REF!</definedName>
    <definedName name="_AMO93" localSheetId="2">#REF!</definedName>
    <definedName name="_AMO93" localSheetId="3">#REF!</definedName>
    <definedName name="_AMO93" localSheetId="1">#REF!</definedName>
    <definedName name="_AMO93" localSheetId="5">#REF!</definedName>
    <definedName name="_AMO93">#REF!</definedName>
    <definedName name="_AMO94" localSheetId="4">#REF!</definedName>
    <definedName name="_AMO94" localSheetId="2">#REF!</definedName>
    <definedName name="_AMO94" localSheetId="3">#REF!</definedName>
    <definedName name="_AMO94" localSheetId="1">#REF!</definedName>
    <definedName name="_AMO94" localSheetId="5">#REF!</definedName>
    <definedName name="_AMO94">#REF!</definedName>
    <definedName name="_xlnm._FilterDatabase" localSheetId="4" hidden="1">' Übersicht eCPM'!$B$7:$P$40</definedName>
    <definedName name="_xlnm._FilterDatabase" localSheetId="2" hidden="1">' Übersicht Reichweite all'!$B$7:$P$40</definedName>
    <definedName name="_xlnm._FilterDatabase" localSheetId="3" hidden="1">' Übersicht Reichweite Video'!$B$7:$P$39</definedName>
    <definedName name="_xlnm._FilterDatabase" localSheetId="1" hidden="1">' Übersicht Umsätze '!$B$7:$Q$40</definedName>
    <definedName name="_xlnm._FilterDatabase" localSheetId="0" hidden="1">Ansprechpartner!$A$6:$I$6</definedName>
    <definedName name="_xlnm._FilterDatabase" localSheetId="5" hidden="1">Cashflow!$C$8:$R$8</definedName>
    <definedName name="_guv3" localSheetId="4" hidden="1">{"K GuV o. Kommentar",#N/A,FALSE,"Kaufhof"}</definedName>
    <definedName name="_guv3" localSheetId="2" hidden="1">{"K GuV o. Kommentar",#N/A,FALSE,"Kaufhof"}</definedName>
    <definedName name="_guv3" localSheetId="3" hidden="1">{"K GuV o. Kommentar",#N/A,FALSE,"Kaufhof"}</definedName>
    <definedName name="_guv3" localSheetId="1" hidden="1">{"K GuV o. Kommentar",#N/A,FALSE,"Kaufhof"}</definedName>
    <definedName name="_guv3" localSheetId="5" hidden="1">{"K GuV o. Kommentar",#N/A,FALSE,"Kaufhof"}</definedName>
    <definedName name="_guv3" hidden="1">{"K GuV o. Kommentar",#N/A,FALSE,"Kaufhof"}</definedName>
    <definedName name="_k1" localSheetId="4" hidden="1">{"K GuV o. Kommentar",#N/A,FALSE,"Kaufhof"}</definedName>
    <definedName name="_k1" localSheetId="2" hidden="1">{"K GuV o. Kommentar",#N/A,FALSE,"Kaufhof"}</definedName>
    <definedName name="_k1" localSheetId="3" hidden="1">{"K GuV o. Kommentar",#N/A,FALSE,"Kaufhof"}</definedName>
    <definedName name="_k1" localSheetId="1" hidden="1">{"K GuV o. Kommentar",#N/A,FALSE,"Kaufhof"}</definedName>
    <definedName name="_k1" localSheetId="5" hidden="1">{"K GuV o. Kommentar",#N/A,FALSE,"Kaufhof"}</definedName>
    <definedName name="_k1" hidden="1">{"K GuV o. Kommentar",#N/A,FALSE,"Kaufhof"}</definedName>
    <definedName name="_k2" localSheetId="4" hidden="1">{"K GuV o. Kommentar",#N/A,FALSE,"Kaufhof"}</definedName>
    <definedName name="_k2" localSheetId="2" hidden="1">{"K GuV o. Kommentar",#N/A,FALSE,"Kaufhof"}</definedName>
    <definedName name="_k2" localSheetId="3" hidden="1">{"K GuV o. Kommentar",#N/A,FALSE,"Kaufhof"}</definedName>
    <definedName name="_k2" localSheetId="1" hidden="1">{"K GuV o. Kommentar",#N/A,FALSE,"Kaufhof"}</definedName>
    <definedName name="_k2" localSheetId="5" hidden="1">{"K GuV o. Kommentar",#N/A,FALSE,"Kaufhof"}</definedName>
    <definedName name="_k2" hidden="1">{"K GuV o. Kommentar",#N/A,FALSE,"Kaufhof"}</definedName>
    <definedName name="_k3" localSheetId="4" hidden="1">{"K Bilanz o. Kommentar",#N/A,FALSE,"Kaufhof"}</definedName>
    <definedName name="_k3" localSheetId="2" hidden="1">{"K Bilanz o. Kommentar",#N/A,FALSE,"Kaufhof"}</definedName>
    <definedName name="_k3" localSheetId="3" hidden="1">{"K Bilanz o. Kommentar",#N/A,FALSE,"Kaufhof"}</definedName>
    <definedName name="_k3" localSheetId="1" hidden="1">{"K Bilanz o. Kommentar",#N/A,FALSE,"Kaufhof"}</definedName>
    <definedName name="_k3" localSheetId="5" hidden="1">{"K Bilanz o. Kommentar",#N/A,FALSE,"Kaufhof"}</definedName>
    <definedName name="_k3" hidden="1">{"K Bilanz o. Kommentar",#N/A,FALSE,"Kaufhof"}</definedName>
    <definedName name="ARBOvision_RO" localSheetId="4">#REF!</definedName>
    <definedName name="ARBOvision_RO" localSheetId="2">#REF!</definedName>
    <definedName name="ARBOvision_RO" localSheetId="3">#REF!</definedName>
    <definedName name="ARBOvision_RO" localSheetId="1">#REF!</definedName>
    <definedName name="ARBOvision_RO" localSheetId="5">#REF!</definedName>
    <definedName name="ARBOvision_RO">#REF!</definedName>
    <definedName name="Bewertungsebene" localSheetId="4">#REF!</definedName>
    <definedName name="Bewertungsebene" localSheetId="2">#REF!</definedName>
    <definedName name="Bewertungsebene" localSheetId="3">#REF!</definedName>
    <definedName name="Bewertungsebene" localSheetId="1">#REF!</definedName>
    <definedName name="Bewertungsebene" localSheetId="5">#REF!</definedName>
    <definedName name="Bewertungsebene">#REF!</definedName>
    <definedName name="bilan4" localSheetId="4" hidden="1">{"K Bilanz o. Kommentar",#N/A,FALSE,"Kaufhof"}</definedName>
    <definedName name="bilan4" localSheetId="2" hidden="1">{"K Bilanz o. Kommentar",#N/A,FALSE,"Kaufhof"}</definedName>
    <definedName name="bilan4" localSheetId="3" hidden="1">{"K Bilanz o. Kommentar",#N/A,FALSE,"Kaufhof"}</definedName>
    <definedName name="bilan4" localSheetId="1" hidden="1">{"K Bilanz o. Kommentar",#N/A,FALSE,"Kaufhof"}</definedName>
    <definedName name="bilan4" localSheetId="5" hidden="1">{"K Bilanz o. Kommentar",#N/A,FALSE,"Kaufhof"}</definedName>
    <definedName name="bilan4" hidden="1">{"K Bilanz o. Kommentar",#N/A,FALSE,"Kaufhof"}</definedName>
    <definedName name="BuiltIn_Print_Area" localSheetId="4">#REF!</definedName>
    <definedName name="BuiltIn_Print_Area" localSheetId="2">#REF!</definedName>
    <definedName name="BuiltIn_Print_Area" localSheetId="3">#REF!</definedName>
    <definedName name="BuiltIn_Print_Area" localSheetId="1">#REF!</definedName>
    <definedName name="BuiltIn_Print_Area" localSheetId="5">#REF!</definedName>
    <definedName name="BuiltIn_Print_Area">#REF!</definedName>
    <definedName name="BuiltIn_Print_Area___0" localSheetId="4">#REF!</definedName>
    <definedName name="BuiltIn_Print_Area___0" localSheetId="2">#REF!</definedName>
    <definedName name="BuiltIn_Print_Area___0" localSheetId="3">#REF!</definedName>
    <definedName name="BuiltIn_Print_Area___0" localSheetId="1">#REF!</definedName>
    <definedName name="BuiltIn_Print_Area___0" localSheetId="5">#REF!</definedName>
    <definedName name="BuiltIn_Print_Area___0">#REF!</definedName>
    <definedName name="BuiltIn_Print_Area___0___0" localSheetId="4">#REF!</definedName>
    <definedName name="BuiltIn_Print_Area___0___0" localSheetId="2">#REF!</definedName>
    <definedName name="BuiltIn_Print_Area___0___0" localSheetId="3">#REF!</definedName>
    <definedName name="BuiltIn_Print_Area___0___0" localSheetId="1">#REF!</definedName>
    <definedName name="BuiltIn_Print_Area___0___0" localSheetId="5">#REF!</definedName>
    <definedName name="BuiltIn_Print_Area___0___0">#REF!</definedName>
    <definedName name="Comp" localSheetId="4">#REF!</definedName>
    <definedName name="Comp" localSheetId="2">#REF!</definedName>
    <definedName name="Comp" localSheetId="3">#REF!</definedName>
    <definedName name="Comp" localSheetId="1">#REF!</definedName>
    <definedName name="Comp" localSheetId="5">#REF!</definedName>
    <definedName name="Comp">#REF!</definedName>
    <definedName name="Datenebene" localSheetId="4">#REF!</definedName>
    <definedName name="Datenebene" localSheetId="2">#REF!</definedName>
    <definedName name="Datenebene" localSheetId="3">#REF!</definedName>
    <definedName name="Datenebene" localSheetId="1">#REF!</definedName>
    <definedName name="Datenebene" localSheetId="5">#REF!</definedName>
    <definedName name="Datenebene">#REF!</definedName>
    <definedName name="_xlnm.Print_Area" localSheetId="0">Ansprechpartner!$A$1:$I$5</definedName>
    <definedName name="Excel_BuiltIn__FilterDatabase_1">#REF!</definedName>
    <definedName name="Excel_BuiltIn__FilterDatabase_2">Ansprechpartner!$A$5:$I$5</definedName>
    <definedName name="Excel_BuiltIn__FilterDatabase_3" localSheetId="4">#REF!</definedName>
    <definedName name="Excel_BuiltIn__FilterDatabase_3" localSheetId="2">#REF!</definedName>
    <definedName name="Excel_BuiltIn__FilterDatabase_3" localSheetId="3">#REF!</definedName>
    <definedName name="Excel_BuiltIn__FilterDatabase_3" localSheetId="1">#REF!</definedName>
    <definedName name="Excel_BuiltIn__FilterDatabase_3" localSheetId="5">#REF!</definedName>
    <definedName name="Excel_BuiltIn__FilterDatabase_3">#REF!</definedName>
    <definedName name="Excel_BuiltIn__FilterDatabase_4">Ansprechpartner!$A$5:$I$5</definedName>
    <definedName name="Gesellschaft" localSheetId="4">#REF!</definedName>
    <definedName name="Gesellschaft" localSheetId="2">#REF!</definedName>
    <definedName name="Gesellschaft" localSheetId="3">#REF!</definedName>
    <definedName name="Gesellschaft" localSheetId="1">#REF!</definedName>
    <definedName name="Gesellschaft" localSheetId="5">#REF!</definedName>
    <definedName name="Gesellschaft">#REF!</definedName>
    <definedName name="IDL.Connector.Version" hidden="1">"16.1.2.0"</definedName>
    <definedName name="Jahr" localSheetId="4">#REF!</definedName>
    <definedName name="Jahr" localSheetId="2">#REF!</definedName>
    <definedName name="Jahr" localSheetId="3">#REF!</definedName>
    <definedName name="Jahr" localSheetId="1">#REF!</definedName>
    <definedName name="Jahr" localSheetId="5">#REF!</definedName>
    <definedName name="Jahr">#REF!</definedName>
    <definedName name="JV" localSheetId="4">#REF!</definedName>
    <definedName name="JV" localSheetId="2">#REF!</definedName>
    <definedName name="JV" localSheetId="3">#REF!</definedName>
    <definedName name="JV" localSheetId="1">#REF!</definedName>
    <definedName name="JV" localSheetId="5">#REF!</definedName>
    <definedName name="JV">#REF!</definedName>
    <definedName name="Lang" localSheetId="4">#REF!</definedName>
    <definedName name="Lang" localSheetId="2">#REF!</definedName>
    <definedName name="Lang" localSheetId="3">#REF!</definedName>
    <definedName name="Lang" localSheetId="1">#REF!</definedName>
    <definedName name="Lang" localSheetId="5">#REF!</definedName>
    <definedName name="Lang">#REF!</definedName>
    <definedName name="LEBEN" localSheetId="4">#REF!</definedName>
    <definedName name="LEBEN" localSheetId="2">#REF!</definedName>
    <definedName name="LEBEN" localSheetId="3">#REF!</definedName>
    <definedName name="LEBEN" localSheetId="1">#REF!</definedName>
    <definedName name="LEBEN" localSheetId="5">#REF!</definedName>
    <definedName name="LEBEN">#REF!</definedName>
    <definedName name="MON" localSheetId="4">#REF!</definedName>
    <definedName name="MON" localSheetId="2">#REF!</definedName>
    <definedName name="MON" localSheetId="3">#REF!</definedName>
    <definedName name="MON" localSheetId="1">#REF!</definedName>
    <definedName name="MON" localSheetId="5">#REF!</definedName>
    <definedName name="MON">#REF!</definedName>
    <definedName name="NOM" localSheetId="4">#REF!</definedName>
    <definedName name="NOM" localSheetId="2">#REF!</definedName>
    <definedName name="NOM" localSheetId="3">#REF!</definedName>
    <definedName name="NOM" localSheetId="1">#REF!</definedName>
    <definedName name="NOM" localSheetId="5">#REF!</definedName>
    <definedName name="NOM">#REF!</definedName>
    <definedName name="q" localSheetId="4">#REF!</definedName>
    <definedName name="q" localSheetId="2">#REF!</definedName>
    <definedName name="q" localSheetId="3">#REF!</definedName>
    <definedName name="q" localSheetId="1">#REF!</definedName>
    <definedName name="q" localSheetId="5">#REF!</definedName>
    <definedName name="q">#REF!</definedName>
    <definedName name="Starttag" localSheetId="4">#REF!</definedName>
    <definedName name="Starttag" localSheetId="2">#REF!</definedName>
    <definedName name="Starttag" localSheetId="3">#REF!</definedName>
    <definedName name="Starttag" localSheetId="1">#REF!</definedName>
    <definedName name="Starttag" localSheetId="5">#REF!</definedName>
    <definedName name="Starttag">#REF!</definedName>
    <definedName name="Stichtag" localSheetId="4">#REF!</definedName>
    <definedName name="Stichtag" localSheetId="2">#REF!</definedName>
    <definedName name="Stichtag" localSheetId="3">#REF!</definedName>
    <definedName name="Stichtag" localSheetId="1">#REF!</definedName>
    <definedName name="Stichtag" localSheetId="5">#REF!</definedName>
    <definedName name="Stichtag">#REF!</definedName>
    <definedName name="TCS" localSheetId="4">#REF!</definedName>
    <definedName name="TCS" localSheetId="2">#REF!</definedName>
    <definedName name="TCS" localSheetId="3">#REF!</definedName>
    <definedName name="TCS" localSheetId="1">#REF!</definedName>
    <definedName name="TCS" localSheetId="5">#REF!</definedName>
    <definedName name="TCS">#REF!</definedName>
    <definedName name="Texte" localSheetId="4">#REF!</definedName>
    <definedName name="Texte" localSheetId="2">#REF!</definedName>
    <definedName name="Texte" localSheetId="3">#REF!</definedName>
    <definedName name="Texte" localSheetId="1">#REF!</definedName>
    <definedName name="Texte" localSheetId="5">#REF!</definedName>
    <definedName name="Texte">#REF!</definedName>
    <definedName name="Titel" localSheetId="4">#REF!</definedName>
    <definedName name="Titel" localSheetId="2">#REF!</definedName>
    <definedName name="Titel" localSheetId="3">#REF!</definedName>
    <definedName name="Titel" localSheetId="1">#REF!</definedName>
    <definedName name="Titel" localSheetId="5">#REF!</definedName>
    <definedName name="Titel">#REF!</definedName>
    <definedName name="UMST" localSheetId="4">#REF!</definedName>
    <definedName name="UMST" localSheetId="2">#REF!</definedName>
    <definedName name="UMST" localSheetId="3">#REF!</definedName>
    <definedName name="UMST" localSheetId="1">#REF!</definedName>
    <definedName name="UMST" localSheetId="5">#REF!</definedName>
    <definedName name="UMST">#REF!</definedName>
    <definedName name="WOSNIK" localSheetId="4">#REF!</definedName>
    <definedName name="WOSNIK" localSheetId="2">#REF!</definedName>
    <definedName name="WOSNIK" localSheetId="3">#REF!</definedName>
    <definedName name="WOSNIK" localSheetId="1">#REF!</definedName>
    <definedName name="WOSNIK" localSheetId="5">#REF!</definedName>
    <definedName name="WOSNIK">#REF!</definedName>
    <definedName name="wrn.K._.GuV._.o.._.Kommentar." localSheetId="4" hidden="1">{"K GuV o. Kommentar",#N/A,FALSE,"Kaufhof"}</definedName>
    <definedName name="wrn.K._.GuV._.o.._.Kommentar." localSheetId="2" hidden="1">{"K GuV o. Kommentar",#N/A,FALSE,"Kaufhof"}</definedName>
    <definedName name="wrn.K._.GuV._.o.._.Kommentar." localSheetId="3" hidden="1">{"K GuV o. Kommentar",#N/A,FALSE,"Kaufhof"}</definedName>
    <definedName name="wrn.K._.GuV._.o.._.Kommentar." localSheetId="1" hidden="1">{"K GuV o. Kommentar",#N/A,FALSE,"Kaufhof"}</definedName>
    <definedName name="wrn.K._.GuV._.o.._.Kommentar." localSheetId="5" hidden="1">{"K GuV o. Kommentar",#N/A,FALSE,"Kaufhof"}</definedName>
    <definedName name="wrn.K._.GuV._.o.._.Kommentar." hidden="1">{"K GuV o. Kommentar",#N/A,FALSE,"Kaufhof"}</definedName>
    <definedName name="wrn.KBilanz._.o.._.Kommentar." localSheetId="4" hidden="1">{"K Bilanz o. Kommentar",#N/A,FALSE,"Kaufhof"}</definedName>
    <definedName name="wrn.KBilanz._.o.._.Kommentar." localSheetId="2" hidden="1">{"K Bilanz o. Kommentar",#N/A,FALSE,"Kaufhof"}</definedName>
    <definedName name="wrn.KBilanz._.o.._.Kommentar." localSheetId="3" hidden="1">{"K Bilanz o. Kommentar",#N/A,FALSE,"Kaufhof"}</definedName>
    <definedName name="wrn.KBilanz._.o.._.Kommentar." localSheetId="1" hidden="1">{"K Bilanz o. Kommentar",#N/A,FALSE,"Kaufhof"}</definedName>
    <definedName name="wrn.KBilanz._.o.._.Kommentar." localSheetId="5" hidden="1">{"K Bilanz o. Kommentar",#N/A,FALSE,"Kaufhof"}</definedName>
    <definedName name="wrn.KBilanz._.o.._.Kommentar." hidden="1">{"K Bilanz o. Kommentar",#N/A,FALSE,"Kaufhof"}</definedName>
    <definedName name="XXK1" hidden="1">[1]DATENHALTUNG!$T$12</definedName>
    <definedName name="XXK51" hidden="1">[1]DATENHALTUNG!$T$15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7" i="14" l="1"/>
  <c r="AF51" i="13"/>
  <c r="AF50" i="13" s="1"/>
  <c r="AF44" i="13"/>
  <c r="AF42" i="13"/>
  <c r="AO16" i="19" l="1"/>
  <c r="AN16" i="19"/>
  <c r="AM16" i="19"/>
  <c r="AE42" i="13"/>
  <c r="AE51" i="13"/>
  <c r="AD51" i="13"/>
  <c r="AE67" i="14"/>
  <c r="AD67" i="14"/>
  <c r="BG9" i="19" l="1"/>
  <c r="BG10" i="19"/>
  <c r="BG11" i="19"/>
  <c r="AC5" i="14" l="1"/>
  <c r="AH14" i="19"/>
  <c r="AG14" i="19"/>
  <c r="AF14" i="19"/>
  <c r="AD44" i="13" l="1"/>
  <c r="AD42" i="13"/>
  <c r="AD10" i="13" l="1"/>
  <c r="BF9" i="19" l="1"/>
  <c r="BF10" i="19"/>
  <c r="BF11" i="19"/>
  <c r="BE11" i="19"/>
  <c r="BD11" i="19"/>
  <c r="BC11" i="19"/>
  <c r="BB11" i="19"/>
  <c r="BA11" i="19"/>
  <c r="AZ11" i="19"/>
  <c r="AY11" i="19"/>
  <c r="AX11" i="19"/>
  <c r="AW11" i="19"/>
  <c r="AV11" i="19"/>
  <c r="AU11" i="19"/>
  <c r="AT11" i="19"/>
  <c r="AS11" i="19"/>
  <c r="BE10" i="19"/>
  <c r="BD10" i="19"/>
  <c r="BC10" i="19"/>
  <c r="BB10" i="19"/>
  <c r="BA10" i="19"/>
  <c r="AZ10" i="19"/>
  <c r="AY10" i="19"/>
  <c r="AX10" i="19"/>
  <c r="AW10" i="19"/>
  <c r="AV10" i="19"/>
  <c r="AU10" i="19"/>
  <c r="AT10" i="19"/>
  <c r="AS10" i="19"/>
  <c r="BE9" i="19"/>
  <c r="BD9" i="19"/>
  <c r="BC9" i="19"/>
  <c r="BB9" i="19"/>
  <c r="BA9" i="19"/>
  <c r="AZ9" i="19"/>
  <c r="AY9" i="19"/>
  <c r="AX9" i="19"/>
  <c r="AW9" i="19"/>
  <c r="AV9" i="19"/>
  <c r="AU9" i="19"/>
  <c r="AT9" i="19"/>
  <c r="AS9" i="19"/>
  <c r="AB21" i="13"/>
  <c r="AC67" i="14"/>
  <c r="AC51" i="13"/>
  <c r="AC10" i="13" l="1"/>
  <c r="AC36" i="13"/>
  <c r="AB9" i="14"/>
  <c r="AB8" i="14"/>
  <c r="AD5" i="14"/>
  <c r="AE5" i="14"/>
  <c r="AF5" i="14"/>
  <c r="AG5" i="14"/>
  <c r="AH5" i="14"/>
  <c r="AI5" i="14"/>
  <c r="AJ5" i="14"/>
  <c r="AK5" i="14"/>
  <c r="AL5" i="14"/>
  <c r="AM5" i="14"/>
  <c r="AB5" i="14"/>
  <c r="AC16" i="13" l="1"/>
  <c r="AD16" i="13"/>
  <c r="AE16" i="13"/>
  <c r="AF16" i="13"/>
  <c r="AG16" i="13"/>
  <c r="AH16" i="13"/>
  <c r="AI16" i="13"/>
  <c r="AJ16" i="13"/>
  <c r="AK16" i="13"/>
  <c r="AL16" i="13"/>
  <c r="AM16" i="13"/>
  <c r="AB16" i="13"/>
  <c r="AC16" i="14"/>
  <c r="AD16" i="14"/>
  <c r="AE16" i="14"/>
  <c r="AF16" i="14"/>
  <c r="AG16" i="14"/>
  <c r="AH16" i="14"/>
  <c r="AI16" i="14"/>
  <c r="AJ16" i="14"/>
  <c r="AK16" i="14"/>
  <c r="AL16" i="14"/>
  <c r="AM16" i="14"/>
  <c r="AB16" i="14"/>
  <c r="AC21" i="13"/>
  <c r="AD21" i="13"/>
  <c r="AE21" i="13"/>
  <c r="AF21" i="13"/>
  <c r="AG21" i="13"/>
  <c r="AI21" i="13"/>
  <c r="AJ21" i="13"/>
  <c r="AK21" i="13"/>
  <c r="AL21" i="13"/>
  <c r="AM21" i="13"/>
  <c r="AC20" i="14"/>
  <c r="AD20" i="14"/>
  <c r="AE20" i="14"/>
  <c r="AF20" i="14"/>
  <c r="AG20" i="14"/>
  <c r="AH20" i="14"/>
  <c r="AI20" i="14"/>
  <c r="AJ20" i="14"/>
  <c r="AK20" i="14"/>
  <c r="AL20" i="14"/>
  <c r="AM20" i="14"/>
  <c r="AB20" i="14"/>
  <c r="AC63" i="14"/>
  <c r="AD63" i="14"/>
  <c r="AE63" i="14"/>
  <c r="AF63" i="14"/>
  <c r="AG63" i="14"/>
  <c r="AH63" i="14"/>
  <c r="AI63" i="14"/>
  <c r="AJ63" i="14"/>
  <c r="AK63" i="14"/>
  <c r="AL63" i="14"/>
  <c r="AM63" i="14"/>
  <c r="AB63" i="14"/>
  <c r="AC47" i="13"/>
  <c r="AD47" i="13"/>
  <c r="AE47" i="13"/>
  <c r="AF47" i="13"/>
  <c r="AG47" i="13"/>
  <c r="AH47" i="13"/>
  <c r="AI47" i="13"/>
  <c r="AJ47" i="13"/>
  <c r="AK47" i="13"/>
  <c r="AL47" i="13"/>
  <c r="AM47" i="13"/>
  <c r="AB47" i="13"/>
  <c r="AN26" i="14"/>
  <c r="AN25" i="14"/>
  <c r="AA25" i="14"/>
  <c r="AA26" i="14"/>
  <c r="AC66" i="14"/>
  <c r="AD66" i="14"/>
  <c r="AE66" i="14"/>
  <c r="AF66" i="14"/>
  <c r="AG66" i="14"/>
  <c r="AH66" i="14"/>
  <c r="AI66" i="14"/>
  <c r="AJ66" i="14"/>
  <c r="AK66" i="14"/>
  <c r="AL66" i="14"/>
  <c r="AM66" i="14"/>
  <c r="AB66" i="14"/>
  <c r="AB69" i="14"/>
  <c r="AB67" i="14"/>
  <c r="AN67" i="14" s="1"/>
  <c r="AC50" i="13"/>
  <c r="AD50" i="13"/>
  <c r="AE50" i="13"/>
  <c r="AG50" i="13"/>
  <c r="AH50" i="13"/>
  <c r="AI50" i="13"/>
  <c r="AJ50" i="13"/>
  <c r="AK50" i="13"/>
  <c r="AL50" i="13"/>
  <c r="AM50" i="13"/>
  <c r="AB50" i="13"/>
  <c r="AB51" i="13"/>
  <c r="AC11" i="14"/>
  <c r="AD11" i="14"/>
  <c r="AE11" i="14"/>
  <c r="AF11" i="14"/>
  <c r="AG11" i="14"/>
  <c r="AH11" i="14"/>
  <c r="AI11" i="14"/>
  <c r="AJ11" i="14"/>
  <c r="AK11" i="14"/>
  <c r="AL11" i="14"/>
  <c r="AM11" i="14"/>
  <c r="AB12" i="14"/>
  <c r="AB11" i="14" s="1"/>
  <c r="AC11" i="13"/>
  <c r="AD11" i="13"/>
  <c r="AE11" i="13"/>
  <c r="AF11" i="13"/>
  <c r="AG11" i="13"/>
  <c r="AH11" i="13"/>
  <c r="AI11" i="13"/>
  <c r="AJ11" i="13"/>
  <c r="AK11" i="13"/>
  <c r="AL11" i="13"/>
  <c r="AM11" i="13"/>
  <c r="AB11" i="13"/>
  <c r="AB12" i="13"/>
  <c r="AC33" i="14"/>
  <c r="AD33" i="14"/>
  <c r="AE33" i="14"/>
  <c r="AF33" i="14"/>
  <c r="AG33" i="14"/>
  <c r="AH33" i="14"/>
  <c r="AI33" i="14"/>
  <c r="AJ33" i="14"/>
  <c r="AK33" i="14"/>
  <c r="AL33" i="14"/>
  <c r="AM33" i="14"/>
  <c r="AB33" i="14"/>
  <c r="AC30" i="13"/>
  <c r="AD30" i="13"/>
  <c r="AE30" i="13"/>
  <c r="AF30" i="13"/>
  <c r="AG30" i="13"/>
  <c r="AH30" i="13"/>
  <c r="AI30" i="13"/>
  <c r="AJ30" i="13"/>
  <c r="AK30" i="13"/>
  <c r="AL30" i="13"/>
  <c r="AM30" i="13"/>
  <c r="AB30" i="13"/>
  <c r="AD36" i="13"/>
  <c r="AE36" i="13"/>
  <c r="AF36" i="13"/>
  <c r="AG36" i="13"/>
  <c r="AH36" i="13"/>
  <c r="AI36" i="13"/>
  <c r="AJ36" i="13"/>
  <c r="AK36" i="13"/>
  <c r="AL36" i="13"/>
  <c r="AM36" i="13"/>
  <c r="AB36" i="13"/>
  <c r="AC39" i="14"/>
  <c r="AD39" i="14"/>
  <c r="AE39" i="14"/>
  <c r="AF39" i="14"/>
  <c r="AG39" i="14"/>
  <c r="AH39" i="14"/>
  <c r="AI39" i="14"/>
  <c r="AJ39" i="14"/>
  <c r="AK39" i="14"/>
  <c r="AL39" i="14"/>
  <c r="AM39" i="14"/>
  <c r="AB39" i="14"/>
  <c r="AC41" i="13"/>
  <c r="AD41" i="13"/>
  <c r="AE41" i="13"/>
  <c r="AF41" i="13"/>
  <c r="AG41" i="13"/>
  <c r="AH41" i="13"/>
  <c r="AI41" i="13"/>
  <c r="AJ41" i="13"/>
  <c r="AK41" i="13"/>
  <c r="AL41" i="13"/>
  <c r="AM41" i="13"/>
  <c r="AB41" i="13"/>
  <c r="AB42" i="13"/>
  <c r="AC58" i="14"/>
  <c r="AF40" i="16" s="1"/>
  <c r="AD58" i="14"/>
  <c r="AG39" i="18" s="1"/>
  <c r="AE58" i="14"/>
  <c r="AF58" i="14"/>
  <c r="AG58" i="14"/>
  <c r="AH58" i="14"/>
  <c r="AK39" i="18" s="1"/>
  <c r="AI58" i="14"/>
  <c r="AJ58" i="14"/>
  <c r="AK58" i="14"/>
  <c r="AN40" i="16" s="1"/>
  <c r="AL58" i="14"/>
  <c r="AO39" i="18" s="1"/>
  <c r="AM58" i="14"/>
  <c r="AC54" i="14"/>
  <c r="AF39" i="16" s="1"/>
  <c r="AD54" i="14"/>
  <c r="AG39" i="16" s="1"/>
  <c r="AE54" i="14"/>
  <c r="AH38" i="18" s="1"/>
  <c r="AF54" i="14"/>
  <c r="AG54" i="14"/>
  <c r="AH54" i="14"/>
  <c r="AK38" i="18" s="1"/>
  <c r="AI54" i="14"/>
  <c r="AL38" i="18" s="1"/>
  <c r="AJ54" i="14"/>
  <c r="AM39" i="16" s="1"/>
  <c r="AK54" i="14"/>
  <c r="AN39" i="16" s="1"/>
  <c r="AL54" i="14"/>
  <c r="AO39" i="16" s="1"/>
  <c r="AM54" i="14"/>
  <c r="AP38" i="18" s="1"/>
  <c r="AB54" i="14"/>
  <c r="AE38" i="18" s="1"/>
  <c r="AB58" i="14"/>
  <c r="AC44" i="14"/>
  <c r="AF38" i="16" s="1"/>
  <c r="AD44" i="14"/>
  <c r="AE44" i="14"/>
  <c r="AH38" i="16" s="1"/>
  <c r="AF44" i="14"/>
  <c r="AI37" i="18" s="1"/>
  <c r="AG44" i="14"/>
  <c r="AJ37" i="18" s="1"/>
  <c r="AH44" i="14"/>
  <c r="AK37" i="18" s="1"/>
  <c r="AI44" i="14"/>
  <c r="AJ44" i="14"/>
  <c r="AM38" i="16" s="1"/>
  <c r="AK44" i="14"/>
  <c r="AN37" i="18" s="1"/>
  <c r="AL44" i="14"/>
  <c r="AM44" i="14"/>
  <c r="AP38" i="16" s="1"/>
  <c r="AB44" i="14"/>
  <c r="AE38" i="16" s="1"/>
  <c r="BP2" i="19"/>
  <c r="BO2" i="19"/>
  <c r="BN2" i="19"/>
  <c r="BM2" i="19"/>
  <c r="BL2" i="19"/>
  <c r="BK2" i="19"/>
  <c r="BJ2" i="19"/>
  <c r="BI2" i="19"/>
  <c r="BH2" i="19"/>
  <c r="BG2" i="19"/>
  <c r="BF2" i="19"/>
  <c r="BE2" i="19"/>
  <c r="AN70" i="14"/>
  <c r="AN69" i="14"/>
  <c r="AO18" i="18"/>
  <c r="AN68" i="14"/>
  <c r="AN65" i="14"/>
  <c r="AN64" i="14"/>
  <c r="AH15" i="18"/>
  <c r="AN62" i="14"/>
  <c r="AN61" i="14"/>
  <c r="AN60" i="14"/>
  <c r="AN59" i="14"/>
  <c r="AN57" i="14"/>
  <c r="AN56" i="14"/>
  <c r="AN55" i="14"/>
  <c r="AN53" i="14"/>
  <c r="AN52" i="14"/>
  <c r="AN51" i="14"/>
  <c r="AN50" i="14"/>
  <c r="AN49" i="14"/>
  <c r="AN48" i="14"/>
  <c r="AN47" i="14"/>
  <c r="AN46" i="14"/>
  <c r="AN45" i="14"/>
  <c r="AN42" i="14"/>
  <c r="AN41" i="14"/>
  <c r="AN40" i="14"/>
  <c r="AN38" i="14"/>
  <c r="AN37" i="14"/>
  <c r="AN36" i="14"/>
  <c r="AN35" i="14"/>
  <c r="AN34" i="14"/>
  <c r="AN32" i="14"/>
  <c r="AN31" i="14"/>
  <c r="AN30" i="14"/>
  <c r="AN29" i="14"/>
  <c r="AN28" i="14"/>
  <c r="AN27" i="14"/>
  <c r="AN24" i="14"/>
  <c r="AN23" i="14"/>
  <c r="AN22" i="14"/>
  <c r="AN21" i="14"/>
  <c r="AN19" i="14"/>
  <c r="AN18" i="14"/>
  <c r="AN17" i="14"/>
  <c r="AN15" i="14"/>
  <c r="AN14" i="14"/>
  <c r="AN13" i="14"/>
  <c r="AN10" i="14"/>
  <c r="AI27" i="18"/>
  <c r="AG27" i="18"/>
  <c r="AI27" i="16"/>
  <c r="AG26" i="18"/>
  <c r="AN8" i="14"/>
  <c r="AN7" i="14"/>
  <c r="AN6" i="14"/>
  <c r="AN54" i="13"/>
  <c r="AN53" i="13"/>
  <c r="AK19" i="15"/>
  <c r="AN49" i="13"/>
  <c r="AN48" i="13"/>
  <c r="AN46" i="13"/>
  <c r="AN45" i="13"/>
  <c r="AN44" i="13"/>
  <c r="AN43" i="13"/>
  <c r="AN40" i="13"/>
  <c r="AN39" i="13"/>
  <c r="AN37" i="13"/>
  <c r="AN35" i="13"/>
  <c r="AN34" i="13"/>
  <c r="AN33" i="13"/>
  <c r="AN32" i="13"/>
  <c r="AN31" i="13"/>
  <c r="AN29" i="13"/>
  <c r="AN28" i="13"/>
  <c r="AN27" i="13"/>
  <c r="AN26" i="13"/>
  <c r="AN25" i="13"/>
  <c r="AN23" i="13"/>
  <c r="AN20" i="13"/>
  <c r="AN19" i="13"/>
  <c r="AN18" i="13"/>
  <c r="AN17" i="13"/>
  <c r="AN15" i="13"/>
  <c r="AN14" i="13"/>
  <c r="AN13" i="13"/>
  <c r="AN12" i="13"/>
  <c r="AN10" i="13"/>
  <c r="AN9" i="13"/>
  <c r="AN8" i="13"/>
  <c r="AN7" i="13"/>
  <c r="AN6" i="13"/>
  <c r="AM5" i="13"/>
  <c r="AL5" i="13"/>
  <c r="AK5" i="13"/>
  <c r="AJ5" i="13"/>
  <c r="AI5" i="13"/>
  <c r="AH5" i="13"/>
  <c r="AG5" i="13"/>
  <c r="AF5" i="13"/>
  <c r="AE5" i="13"/>
  <c r="AD5" i="13"/>
  <c r="AC5" i="13"/>
  <c r="AB5" i="13"/>
  <c r="AE17" i="17"/>
  <c r="AF12" i="17"/>
  <c r="AE12" i="17"/>
  <c r="AM39" i="18"/>
  <c r="AJ38" i="18"/>
  <c r="AL37" i="18"/>
  <c r="AF37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O31" i="18"/>
  <c r="AN31" i="18"/>
  <c r="AM31" i="18"/>
  <c r="AL31" i="18"/>
  <c r="AK31" i="18"/>
  <c r="AJ31" i="18"/>
  <c r="AI31" i="18"/>
  <c r="AH31" i="18"/>
  <c r="AG31" i="18"/>
  <c r="AF31" i="18"/>
  <c r="AE31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P27" i="18"/>
  <c r="AO27" i="18"/>
  <c r="AN27" i="18"/>
  <c r="AM27" i="18"/>
  <c r="AL27" i="18"/>
  <c r="AK27" i="18"/>
  <c r="AJ27" i="18"/>
  <c r="AH27" i="18"/>
  <c r="AF27" i="18"/>
  <c r="AE27" i="18"/>
  <c r="AP26" i="18"/>
  <c r="AO26" i="18"/>
  <c r="AN26" i="18"/>
  <c r="AM26" i="18"/>
  <c r="AL26" i="18"/>
  <c r="AK26" i="18"/>
  <c r="AJ26" i="18"/>
  <c r="AH26" i="18"/>
  <c r="AF26" i="18"/>
  <c r="AE26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P19" i="18"/>
  <c r="AO19" i="18"/>
  <c r="AN19" i="18"/>
  <c r="AM19" i="18"/>
  <c r="AL19" i="18"/>
  <c r="AK19" i="18"/>
  <c r="AJ19" i="18"/>
  <c r="AI19" i="18"/>
  <c r="AH19" i="18"/>
  <c r="AG19" i="18"/>
  <c r="AF19" i="18"/>
  <c r="AP18" i="18"/>
  <c r="AN18" i="18"/>
  <c r="AM18" i="18"/>
  <c r="AL18" i="18"/>
  <c r="AK18" i="18"/>
  <c r="AJ18" i="18"/>
  <c r="AI18" i="18"/>
  <c r="AH18" i="18"/>
  <c r="AG18" i="18"/>
  <c r="AF18" i="18"/>
  <c r="AE18" i="18"/>
  <c r="AP17" i="18"/>
  <c r="AN17" i="18"/>
  <c r="AM17" i="18"/>
  <c r="AL17" i="18"/>
  <c r="AK17" i="18"/>
  <c r="AJ17" i="18"/>
  <c r="AH17" i="18"/>
  <c r="AF17" i="18"/>
  <c r="AE17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P15" i="18"/>
  <c r="AO15" i="18"/>
  <c r="AN15" i="18"/>
  <c r="AM15" i="18"/>
  <c r="AL15" i="18"/>
  <c r="AK15" i="18"/>
  <c r="AJ15" i="18"/>
  <c r="AI15" i="18"/>
  <c r="AG15" i="18"/>
  <c r="AF15" i="18"/>
  <c r="AE15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M40" i="16"/>
  <c r="AJ39" i="16"/>
  <c r="AN38" i="16"/>
  <c r="AL38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P28" i="16"/>
  <c r="AO28" i="16"/>
  <c r="AN28" i="16"/>
  <c r="AM28" i="16"/>
  <c r="AL28" i="16"/>
  <c r="AK28" i="16"/>
  <c r="AJ28" i="16"/>
  <c r="AJ28" i="21" s="1"/>
  <c r="AI28" i="16"/>
  <c r="AH28" i="16"/>
  <c r="AG28" i="16"/>
  <c r="AF28" i="16"/>
  <c r="AE28" i="16"/>
  <c r="AP27" i="16"/>
  <c r="AO27" i="16"/>
  <c r="AN27" i="16"/>
  <c r="AM27" i="16"/>
  <c r="AL27" i="16"/>
  <c r="AK27" i="16"/>
  <c r="AJ27" i="16"/>
  <c r="AH27" i="16"/>
  <c r="AF27" i="16"/>
  <c r="AE27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P20" i="16"/>
  <c r="AO20" i="16"/>
  <c r="AN20" i="16"/>
  <c r="AM20" i="16"/>
  <c r="AL20" i="16"/>
  <c r="AK20" i="16"/>
  <c r="AJ20" i="16"/>
  <c r="AI20" i="16"/>
  <c r="AH20" i="16"/>
  <c r="AG20" i="16"/>
  <c r="AF20" i="16"/>
  <c r="AP19" i="16"/>
  <c r="AN19" i="16"/>
  <c r="AM19" i="16"/>
  <c r="AL19" i="16"/>
  <c r="AK19" i="16"/>
  <c r="AJ19" i="16"/>
  <c r="AI19" i="16"/>
  <c r="AH19" i="16"/>
  <c r="AG19" i="16"/>
  <c r="AF19" i="16"/>
  <c r="AE19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P16" i="16"/>
  <c r="AO16" i="16"/>
  <c r="AN16" i="16"/>
  <c r="AM16" i="16"/>
  <c r="AL16" i="16"/>
  <c r="AK16" i="16"/>
  <c r="AJ16" i="16"/>
  <c r="AI16" i="16"/>
  <c r="AG16" i="16"/>
  <c r="AF16" i="16"/>
  <c r="AE16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P40" i="15"/>
  <c r="AO40" i="15"/>
  <c r="AN40" i="15"/>
  <c r="AM40" i="15"/>
  <c r="AL40" i="15"/>
  <c r="AM40" i="17" s="1"/>
  <c r="AK40" i="15"/>
  <c r="AJ40" i="15"/>
  <c r="AK40" i="17" s="1"/>
  <c r="AI40" i="15"/>
  <c r="AH40" i="15"/>
  <c r="AG40" i="15"/>
  <c r="AF40" i="15"/>
  <c r="AE40" i="15"/>
  <c r="AF40" i="17" s="1"/>
  <c r="AP39" i="15"/>
  <c r="AO39" i="15"/>
  <c r="AP39" i="17" s="1"/>
  <c r="AN39" i="15"/>
  <c r="AM39" i="15"/>
  <c r="AN39" i="17" s="1"/>
  <c r="AL39" i="15"/>
  <c r="AK39" i="15"/>
  <c r="AJ39" i="15"/>
  <c r="AI39" i="15"/>
  <c r="AH39" i="15"/>
  <c r="AG39" i="15"/>
  <c r="AH39" i="17" s="1"/>
  <c r="AF39" i="15"/>
  <c r="AE39" i="15"/>
  <c r="AF39" i="17" s="1"/>
  <c r="AP38" i="15"/>
  <c r="AO38" i="15"/>
  <c r="AN38" i="15"/>
  <c r="AM38" i="15"/>
  <c r="AL38" i="15"/>
  <c r="AK38" i="15"/>
  <c r="AM38" i="17" s="1"/>
  <c r="AJ38" i="15"/>
  <c r="AL38" i="17" s="1"/>
  <c r="AI38" i="15"/>
  <c r="AH38" i="15"/>
  <c r="AJ38" i="17" s="1"/>
  <c r="AG38" i="15"/>
  <c r="AF38" i="15"/>
  <c r="AE38" i="15"/>
  <c r="AP37" i="15"/>
  <c r="AO37" i="15"/>
  <c r="AN37" i="15"/>
  <c r="AM37" i="15"/>
  <c r="AO37" i="17" s="1"/>
  <c r="AL37" i="15"/>
  <c r="AK37" i="15"/>
  <c r="AJ37" i="15"/>
  <c r="AI37" i="15"/>
  <c r="AH37" i="15"/>
  <c r="AG37" i="15"/>
  <c r="AF37" i="15"/>
  <c r="AE37" i="15"/>
  <c r="AG37" i="17" s="1"/>
  <c r="AP36" i="15"/>
  <c r="AO36" i="15"/>
  <c r="AN36" i="15"/>
  <c r="AM36" i="15"/>
  <c r="AL36" i="15"/>
  <c r="AK36" i="15"/>
  <c r="AJ36" i="15"/>
  <c r="AL36" i="17" s="1"/>
  <c r="AI36" i="15"/>
  <c r="AH36" i="15"/>
  <c r="AG36" i="15"/>
  <c r="AF36" i="15"/>
  <c r="AE36" i="15"/>
  <c r="AP35" i="15"/>
  <c r="AO35" i="15"/>
  <c r="AN35" i="15"/>
  <c r="AM35" i="15"/>
  <c r="AO35" i="17" s="1"/>
  <c r="AL35" i="15"/>
  <c r="AN35" i="17" s="1"/>
  <c r="AK35" i="15"/>
  <c r="AJ35" i="15"/>
  <c r="AL35" i="17" s="1"/>
  <c r="AI35" i="15"/>
  <c r="AH35" i="15"/>
  <c r="AG35" i="15"/>
  <c r="AI35" i="17" s="1"/>
  <c r="AF35" i="15"/>
  <c r="AE35" i="15"/>
  <c r="AP34" i="15"/>
  <c r="AO34" i="15"/>
  <c r="AN34" i="15"/>
  <c r="AM34" i="15"/>
  <c r="AL34" i="15"/>
  <c r="AN34" i="17" s="1"/>
  <c r="AK34" i="15"/>
  <c r="AJ34" i="15"/>
  <c r="AL34" i="17" s="1"/>
  <c r="AI34" i="15"/>
  <c r="AH34" i="15"/>
  <c r="AG34" i="15"/>
  <c r="AF34" i="15"/>
  <c r="AE34" i="15"/>
  <c r="AP33" i="15"/>
  <c r="AO33" i="15"/>
  <c r="AN33" i="15"/>
  <c r="AM33" i="15"/>
  <c r="AL33" i="15"/>
  <c r="AK33" i="15"/>
  <c r="AJ33" i="15"/>
  <c r="AL33" i="17" s="1"/>
  <c r="AI33" i="15"/>
  <c r="AH33" i="15"/>
  <c r="AJ33" i="17" s="1"/>
  <c r="AG33" i="15"/>
  <c r="AI33" i="17" s="1"/>
  <c r="AF33" i="15"/>
  <c r="AE33" i="15"/>
  <c r="AP32" i="15"/>
  <c r="AO32" i="15"/>
  <c r="AN32" i="15"/>
  <c r="AP32" i="17" s="1"/>
  <c r="AM32" i="15"/>
  <c r="AL32" i="15"/>
  <c r="AK32" i="15"/>
  <c r="AM32" i="17" s="1"/>
  <c r="AJ32" i="15"/>
  <c r="AL32" i="17" s="1"/>
  <c r="AI32" i="15"/>
  <c r="AH32" i="15"/>
  <c r="AJ32" i="17" s="1"/>
  <c r="AG32" i="15"/>
  <c r="AF32" i="15"/>
  <c r="AH32" i="17" s="1"/>
  <c r="AE32" i="15"/>
  <c r="AP31" i="15"/>
  <c r="AO31" i="15"/>
  <c r="AN31" i="15"/>
  <c r="AO31" i="17" s="1"/>
  <c r="AM31" i="15"/>
  <c r="AN31" i="17" s="1"/>
  <c r="AL31" i="15"/>
  <c r="AK31" i="15"/>
  <c r="AJ31" i="15"/>
  <c r="AI31" i="15"/>
  <c r="AH31" i="15"/>
  <c r="AI31" i="17" s="1"/>
  <c r="AG31" i="15"/>
  <c r="AF31" i="15"/>
  <c r="AG31" i="17" s="1"/>
  <c r="AE31" i="15"/>
  <c r="AF31" i="17" s="1"/>
  <c r="AP30" i="15"/>
  <c r="AO30" i="15"/>
  <c r="AN30" i="15"/>
  <c r="AO30" i="17" s="1"/>
  <c r="AM30" i="15"/>
  <c r="AL30" i="15"/>
  <c r="AM30" i="17" s="1"/>
  <c r="AK30" i="15"/>
  <c r="AL30" i="17" s="1"/>
  <c r="AJ30" i="15"/>
  <c r="AI30" i="15"/>
  <c r="AJ30" i="17" s="1"/>
  <c r="AH30" i="15"/>
  <c r="AI30" i="17" s="1"/>
  <c r="AG30" i="15"/>
  <c r="AF30" i="15"/>
  <c r="AE30" i="15"/>
  <c r="AP29" i="15"/>
  <c r="AO29" i="15"/>
  <c r="AN29" i="15"/>
  <c r="AO29" i="17" s="1"/>
  <c r="AM29" i="15"/>
  <c r="AL29" i="15"/>
  <c r="AM29" i="17" s="1"/>
  <c r="AK29" i="15"/>
  <c r="AJ29" i="15"/>
  <c r="AI29" i="15"/>
  <c r="AH29" i="15"/>
  <c r="AG29" i="15"/>
  <c r="AH29" i="17" s="1"/>
  <c r="AF29" i="15"/>
  <c r="AG29" i="17" s="1"/>
  <c r="AE29" i="15"/>
  <c r="AF29" i="17" s="1"/>
  <c r="AP28" i="15"/>
  <c r="AO28" i="15"/>
  <c r="AN28" i="15"/>
  <c r="AM28" i="15"/>
  <c r="AL28" i="15"/>
  <c r="AK28" i="15"/>
  <c r="AJ28" i="15"/>
  <c r="AI28" i="15"/>
  <c r="AH28" i="15"/>
  <c r="AG28" i="15"/>
  <c r="AF28" i="15"/>
  <c r="AF28" i="21" s="1"/>
  <c r="AE28" i="15"/>
  <c r="AP27" i="15"/>
  <c r="AO27" i="15"/>
  <c r="AN27" i="15"/>
  <c r="AM27" i="15"/>
  <c r="AL27" i="15"/>
  <c r="AK27" i="15"/>
  <c r="AJ27" i="15"/>
  <c r="AJ27" i="21" s="1"/>
  <c r="AI27" i="15"/>
  <c r="AH27" i="15"/>
  <c r="AG27" i="15"/>
  <c r="AF27" i="15"/>
  <c r="AF27" i="21" s="1"/>
  <c r="AE27" i="15"/>
  <c r="AP26" i="15"/>
  <c r="AO26" i="15"/>
  <c r="AN26" i="15"/>
  <c r="AM26" i="15"/>
  <c r="AL26" i="15"/>
  <c r="AL26" i="21" s="1"/>
  <c r="AK26" i="15"/>
  <c r="AJ26" i="15"/>
  <c r="AJ26" i="21" s="1"/>
  <c r="AI26" i="15"/>
  <c r="AH26" i="15"/>
  <c r="AG26" i="15"/>
  <c r="AF26" i="15"/>
  <c r="AE26" i="15"/>
  <c r="AP25" i="15"/>
  <c r="AO25" i="15"/>
  <c r="AP25" i="17" s="1"/>
  <c r="AN25" i="15"/>
  <c r="AM25" i="15"/>
  <c r="AL25" i="15"/>
  <c r="AK25" i="15"/>
  <c r="AJ25" i="15"/>
  <c r="AK25" i="17" s="1"/>
  <c r="AI25" i="15"/>
  <c r="AH25" i="15"/>
  <c r="AI25" i="17" s="1"/>
  <c r="AG25" i="15"/>
  <c r="AH25" i="17" s="1"/>
  <c r="AF25" i="15"/>
  <c r="AE25" i="15"/>
  <c r="AP24" i="15"/>
  <c r="AO24" i="15"/>
  <c r="AN24" i="15"/>
  <c r="AO24" i="17" s="1"/>
  <c r="AM24" i="15"/>
  <c r="AL24" i="15"/>
  <c r="AK24" i="15"/>
  <c r="AJ24" i="15"/>
  <c r="AI24" i="15"/>
  <c r="AJ24" i="17" s="1"/>
  <c r="AH24" i="15"/>
  <c r="AI24" i="17" s="1"/>
  <c r="AG24" i="15"/>
  <c r="AF24" i="15"/>
  <c r="AG24" i="17" s="1"/>
  <c r="AE24" i="15"/>
  <c r="AP23" i="15"/>
  <c r="AO23" i="15"/>
  <c r="AP23" i="17" s="1"/>
  <c r="AN23" i="15"/>
  <c r="AO23" i="17" s="1"/>
  <c r="AM23" i="15"/>
  <c r="AN23" i="17" s="1"/>
  <c r="AL23" i="15"/>
  <c r="AK23" i="15"/>
  <c r="AJ23" i="15"/>
  <c r="AI23" i="15"/>
  <c r="AH23" i="15"/>
  <c r="AG23" i="15"/>
  <c r="AH23" i="17" s="1"/>
  <c r="AF23" i="15"/>
  <c r="AE23" i="15"/>
  <c r="AF23" i="17" s="1"/>
  <c r="AP22" i="15"/>
  <c r="AO22" i="15"/>
  <c r="AN22" i="15"/>
  <c r="AM22" i="15"/>
  <c r="AL22" i="15"/>
  <c r="AK22" i="15"/>
  <c r="AJ22" i="15"/>
  <c r="AI22" i="15"/>
  <c r="AH22" i="15"/>
  <c r="AH22" i="21" s="1"/>
  <c r="AG22" i="15"/>
  <c r="AF22" i="15"/>
  <c r="AE22" i="15"/>
  <c r="AP21" i="15"/>
  <c r="AO21" i="15"/>
  <c r="AN21" i="15"/>
  <c r="AM21" i="15"/>
  <c r="AL21" i="15"/>
  <c r="AK21" i="15"/>
  <c r="AJ21" i="15"/>
  <c r="AI21" i="15"/>
  <c r="AH21" i="15"/>
  <c r="AG21" i="15"/>
  <c r="AF21" i="15"/>
  <c r="AF21" i="21" s="1"/>
  <c r="AE21" i="15"/>
  <c r="AP20" i="15"/>
  <c r="AO20" i="15"/>
  <c r="AN20" i="15"/>
  <c r="AM20" i="15"/>
  <c r="AL20" i="15"/>
  <c r="AK20" i="15"/>
  <c r="AJ20" i="15"/>
  <c r="AL20" i="17" s="1"/>
  <c r="AI20" i="15"/>
  <c r="AH20" i="15"/>
  <c r="AJ20" i="17" s="1"/>
  <c r="AG20" i="15"/>
  <c r="AF20" i="15"/>
  <c r="AE20" i="15"/>
  <c r="AP19" i="15"/>
  <c r="AO19" i="15"/>
  <c r="AN19" i="15"/>
  <c r="AM19" i="15"/>
  <c r="AO19" i="17" s="1"/>
  <c r="AL19" i="15"/>
  <c r="AN19" i="17" s="1"/>
  <c r="AJ19" i="15"/>
  <c r="AL19" i="17" s="1"/>
  <c r="AI19" i="15"/>
  <c r="AH19" i="15"/>
  <c r="AG19" i="15"/>
  <c r="AF19" i="15"/>
  <c r="AE19" i="15"/>
  <c r="AP18" i="15"/>
  <c r="AP18" i="21" s="1"/>
  <c r="AO18" i="15"/>
  <c r="AN18" i="15"/>
  <c r="AP18" i="17" s="1"/>
  <c r="AM18" i="15"/>
  <c r="AL18" i="15"/>
  <c r="AK18" i="15"/>
  <c r="AM18" i="17" s="1"/>
  <c r="AJ18" i="15"/>
  <c r="AI18" i="15"/>
  <c r="AH18" i="15"/>
  <c r="AG18" i="15"/>
  <c r="AF18" i="15"/>
  <c r="AE18" i="15"/>
  <c r="AP17" i="15"/>
  <c r="AO17" i="15"/>
  <c r="AP17" i="17" s="1"/>
  <c r="AN17" i="15"/>
  <c r="AM17" i="15"/>
  <c r="AN17" i="17" s="1"/>
  <c r="AL17" i="15"/>
  <c r="AM17" i="17" s="1"/>
  <c r="AK17" i="15"/>
  <c r="AJ17" i="15"/>
  <c r="AK17" i="17" s="1"/>
  <c r="AI17" i="15"/>
  <c r="AH17" i="15"/>
  <c r="AI17" i="17" s="1"/>
  <c r="AG17" i="15"/>
  <c r="AH17" i="17" s="1"/>
  <c r="AF17" i="15"/>
  <c r="AE17" i="15"/>
  <c r="AP16" i="15"/>
  <c r="AP16" i="21" s="1"/>
  <c r="AO16" i="15"/>
  <c r="AN16" i="15"/>
  <c r="AM16" i="15"/>
  <c r="AL16" i="15"/>
  <c r="AK16" i="15"/>
  <c r="AM16" i="17" s="1"/>
  <c r="AJ16" i="15"/>
  <c r="AL16" i="17" s="1"/>
  <c r="AI16" i="15"/>
  <c r="AH16" i="15"/>
  <c r="AJ16" i="17" s="1"/>
  <c r="AG16" i="15"/>
  <c r="AF16" i="15"/>
  <c r="AH16" i="17" s="1"/>
  <c r="AE16" i="15"/>
  <c r="AP15" i="15"/>
  <c r="AO15" i="15"/>
  <c r="AN15" i="15"/>
  <c r="AP15" i="17" s="1"/>
  <c r="AM15" i="15"/>
  <c r="AO15" i="17" s="1"/>
  <c r="AL15" i="15"/>
  <c r="AK15" i="15"/>
  <c r="AJ15" i="15"/>
  <c r="AL15" i="17" s="1"/>
  <c r="AI15" i="15"/>
  <c r="AH15" i="15"/>
  <c r="AG15" i="15"/>
  <c r="AF15" i="15"/>
  <c r="AH15" i="17" s="1"/>
  <c r="AE15" i="15"/>
  <c r="AG15" i="17" s="1"/>
  <c r="AP14" i="15"/>
  <c r="AO14" i="15"/>
  <c r="AN14" i="15"/>
  <c r="AM14" i="15"/>
  <c r="AL14" i="15"/>
  <c r="AK14" i="15"/>
  <c r="AJ14" i="15"/>
  <c r="AI14" i="15"/>
  <c r="AH14" i="15"/>
  <c r="AG14" i="15"/>
  <c r="AF14" i="15"/>
  <c r="AE14" i="15"/>
  <c r="AP13" i="15"/>
  <c r="AO13" i="15"/>
  <c r="AN13" i="15"/>
  <c r="AP14" i="17" s="1"/>
  <c r="AM13" i="15"/>
  <c r="AL13" i="15"/>
  <c r="AN14" i="17" s="1"/>
  <c r="AK13" i="15"/>
  <c r="AJ13" i="15"/>
  <c r="AL14" i="17" s="1"/>
  <c r="AI13" i="15"/>
  <c r="AH13" i="15"/>
  <c r="AG13" i="15"/>
  <c r="AI14" i="17" s="1"/>
  <c r="AF13" i="15"/>
  <c r="AH14" i="17" s="1"/>
  <c r="AE13" i="15"/>
  <c r="AP12" i="15"/>
  <c r="AO12" i="15"/>
  <c r="AN12" i="15"/>
  <c r="AM12" i="15"/>
  <c r="AL12" i="15"/>
  <c r="AJ12" i="15"/>
  <c r="AL13" i="17" s="1"/>
  <c r="AI12" i="15"/>
  <c r="AK13" i="17" s="1"/>
  <c r="AH12" i="15"/>
  <c r="AG12" i="15"/>
  <c r="AF12" i="15"/>
  <c r="AE12" i="15"/>
  <c r="AP11" i="15"/>
  <c r="AO11" i="15"/>
  <c r="AN11" i="15"/>
  <c r="AP12" i="17" s="1"/>
  <c r="AM11" i="15"/>
  <c r="AO12" i="17" s="1"/>
  <c r="AL11" i="15"/>
  <c r="AK11" i="15"/>
  <c r="AM12" i="17" s="1"/>
  <c r="AJ11" i="15"/>
  <c r="AI11" i="15"/>
  <c r="AH11" i="15"/>
  <c r="AG11" i="15"/>
  <c r="AI12" i="17" s="1"/>
  <c r="AF11" i="15"/>
  <c r="AH12" i="17" s="1"/>
  <c r="AE11" i="15"/>
  <c r="AP10" i="15"/>
  <c r="AO10" i="15"/>
  <c r="AN10" i="15"/>
  <c r="AM10" i="15"/>
  <c r="AN11" i="17" s="1"/>
  <c r="AL10" i="15"/>
  <c r="AK10" i="15"/>
  <c r="AL11" i="17" s="1"/>
  <c r="AJ10" i="15"/>
  <c r="AI10" i="15"/>
  <c r="AJ11" i="17" s="1"/>
  <c r="AH10" i="15"/>
  <c r="AG10" i="15"/>
  <c r="AF10" i="15"/>
  <c r="AG11" i="17" s="1"/>
  <c r="AE10" i="15"/>
  <c r="AP9" i="15"/>
  <c r="AO9" i="15"/>
  <c r="AP10" i="17" s="1"/>
  <c r="AN9" i="15"/>
  <c r="AO10" i="17" s="1"/>
  <c r="AM9" i="15"/>
  <c r="AN10" i="17" s="1"/>
  <c r="AL9" i="15"/>
  <c r="AK9" i="15"/>
  <c r="AJ9" i="15"/>
  <c r="AI9" i="15"/>
  <c r="AH9" i="15"/>
  <c r="AG9" i="15"/>
  <c r="AH10" i="17" s="1"/>
  <c r="AF9" i="15"/>
  <c r="AG10" i="17" s="1"/>
  <c r="AE9" i="15"/>
  <c r="AP8" i="15"/>
  <c r="AO8" i="15"/>
  <c r="AN8" i="15"/>
  <c r="AO9" i="17" s="1"/>
  <c r="AM8" i="15"/>
  <c r="AL8" i="15"/>
  <c r="AK8" i="15"/>
  <c r="AL9" i="17" s="1"/>
  <c r="AJ8" i="15"/>
  <c r="AK9" i="17" s="1"/>
  <c r="AI8" i="15"/>
  <c r="AJ9" i="17" s="1"/>
  <c r="AH8" i="15"/>
  <c r="AG8" i="15"/>
  <c r="AH9" i="17" s="1"/>
  <c r="AF8" i="15"/>
  <c r="AG9" i="17" s="1"/>
  <c r="AE8" i="15"/>
  <c r="AQ26" i="15" l="1"/>
  <c r="AG26" i="21"/>
  <c r="AP26" i="21"/>
  <c r="AN21" i="21"/>
  <c r="AP39" i="16"/>
  <c r="AH39" i="16"/>
  <c r="AJ38" i="16"/>
  <c r="AK38" i="16"/>
  <c r="AH27" i="21"/>
  <c r="AH17" i="21"/>
  <c r="AL39" i="16"/>
  <c r="AL39" i="21" s="1"/>
  <c r="AP37" i="18"/>
  <c r="AO29" i="21"/>
  <c r="AI31" i="21"/>
  <c r="AG21" i="21"/>
  <c r="AO21" i="21"/>
  <c r="AK22" i="21"/>
  <c r="AJ22" i="21"/>
  <c r="AH39" i="21"/>
  <c r="AD43" i="14"/>
  <c r="AI38" i="16"/>
  <c r="AI2" i="16" s="1"/>
  <c r="AP29" i="21"/>
  <c r="AP22" i="21"/>
  <c r="AM2" i="15"/>
  <c r="AE2" i="15"/>
  <c r="AM28" i="21"/>
  <c r="AK26" i="21"/>
  <c r="AP3" i="15"/>
  <c r="AH37" i="18"/>
  <c r="AF38" i="18"/>
  <c r="AB43" i="14"/>
  <c r="AK43" i="14"/>
  <c r="AI43" i="14"/>
  <c r="AC43" i="14"/>
  <c r="AF39" i="18"/>
  <c r="AF4" i="18" s="1"/>
  <c r="AH21" i="21"/>
  <c r="AP21" i="21"/>
  <c r="AL22" i="21"/>
  <c r="AN63" i="14"/>
  <c r="AI3" i="15"/>
  <c r="AE28" i="21"/>
  <c r="AH26" i="21"/>
  <c r="AJ16" i="21"/>
  <c r="AQ16" i="15"/>
  <c r="AN16" i="14"/>
  <c r="AP31" i="21"/>
  <c r="AJ29" i="21"/>
  <c r="AL29" i="21"/>
  <c r="AN20" i="14"/>
  <c r="AL23" i="21"/>
  <c r="AL24" i="21"/>
  <c r="AP14" i="21"/>
  <c r="AH14" i="21"/>
  <c r="AH12" i="21"/>
  <c r="AP12" i="21"/>
  <c r="AK24" i="21"/>
  <c r="AP24" i="21"/>
  <c r="AF23" i="21"/>
  <c r="AF25" i="21"/>
  <c r="AN25" i="21"/>
  <c r="AP23" i="21"/>
  <c r="AP25" i="21"/>
  <c r="AL21" i="21"/>
  <c r="AN19" i="21"/>
  <c r="AN66" i="14"/>
  <c r="AK27" i="21"/>
  <c r="AG28" i="21"/>
  <c r="AO28" i="21"/>
  <c r="AO32" i="21"/>
  <c r="AO34" i="21"/>
  <c r="AO36" i="21"/>
  <c r="AP3" i="16"/>
  <c r="AK39" i="16"/>
  <c r="AL39" i="18"/>
  <c r="AL4" i="18" s="1"/>
  <c r="AJ43" i="14"/>
  <c r="AN39" i="18"/>
  <c r="AN11" i="14"/>
  <c r="AN27" i="21"/>
  <c r="AE40" i="16"/>
  <c r="AE40" i="21" s="1"/>
  <c r="AG43" i="14"/>
  <c r="AF43" i="14"/>
  <c r="AL40" i="16"/>
  <c r="AL40" i="21" s="1"/>
  <c r="AM43" i="14"/>
  <c r="AE43" i="14"/>
  <c r="AI36" i="21"/>
  <c r="AI21" i="21"/>
  <c r="AM22" i="21"/>
  <c r="AM26" i="21"/>
  <c r="AE39" i="18"/>
  <c r="AL43" i="14"/>
  <c r="AP20" i="21"/>
  <c r="AK20" i="21"/>
  <c r="AP19" i="21"/>
  <c r="AQ18" i="15"/>
  <c r="AN11" i="13"/>
  <c r="AP39" i="18"/>
  <c r="AP4" i="18" s="1"/>
  <c r="AP40" i="16"/>
  <c r="AP4" i="16" s="1"/>
  <c r="AH39" i="18"/>
  <c r="AH4" i="18" s="1"/>
  <c r="AH40" i="16"/>
  <c r="AH4" i="16" s="1"/>
  <c r="AI39" i="18"/>
  <c r="AH43" i="14"/>
  <c r="AJ39" i="18"/>
  <c r="AJ4" i="18" s="1"/>
  <c r="AP33" i="21"/>
  <c r="AQ33" i="18"/>
  <c r="AN33" i="14"/>
  <c r="AF35" i="21"/>
  <c r="AN35" i="21"/>
  <c r="AF37" i="21"/>
  <c r="AN37" i="21"/>
  <c r="AP35" i="21"/>
  <c r="AP37" i="21"/>
  <c r="AL36" i="21"/>
  <c r="AH37" i="21"/>
  <c r="AQ35" i="18"/>
  <c r="AQ36" i="18"/>
  <c r="AG4" i="18"/>
  <c r="AP10" i="21"/>
  <c r="AJ3" i="18"/>
  <c r="AG35" i="21"/>
  <c r="AJ10" i="21"/>
  <c r="AP27" i="21"/>
  <c r="AL28" i="21"/>
  <c r="AO27" i="21"/>
  <c r="AK28" i="21"/>
  <c r="AN28" i="21"/>
  <c r="AL27" i="21"/>
  <c r="AH28" i="21"/>
  <c r="AP28" i="21"/>
  <c r="AN2" i="16"/>
  <c r="AP5" i="15"/>
  <c r="AM40" i="21"/>
  <c r="AK40" i="16"/>
  <c r="AK40" i="21" s="1"/>
  <c r="AN38" i="18"/>
  <c r="AP39" i="21"/>
  <c r="AE39" i="16"/>
  <c r="AM38" i="18"/>
  <c r="AM3" i="18" s="1"/>
  <c r="AJ40" i="16"/>
  <c r="AJ40" i="21" s="1"/>
  <c r="AL2" i="16"/>
  <c r="AH3" i="16"/>
  <c r="AQ29" i="16"/>
  <c r="AL2" i="18"/>
  <c r="AQ29" i="18"/>
  <c r="AJ38" i="21"/>
  <c r="AO11" i="21"/>
  <c r="AO13" i="21"/>
  <c r="AG15" i="21"/>
  <c r="AO15" i="21"/>
  <c r="AL38" i="21"/>
  <c r="AK2" i="16"/>
  <c r="AK4" i="16"/>
  <c r="AP9" i="21"/>
  <c r="AP11" i="21"/>
  <c r="AP13" i="21"/>
  <c r="AL14" i="21"/>
  <c r="AP15" i="21"/>
  <c r="AL16" i="21"/>
  <c r="AP17" i="21"/>
  <c r="AK2" i="18"/>
  <c r="AK4" i="18"/>
  <c r="AQ28" i="18"/>
  <c r="AQ12" i="18"/>
  <c r="AE14" i="21"/>
  <c r="AJ21" i="21"/>
  <c r="AN22" i="21"/>
  <c r="AF26" i="21"/>
  <c r="AN26" i="21"/>
  <c r="AM3" i="16"/>
  <c r="AE2" i="16"/>
  <c r="AM2" i="16"/>
  <c r="AF2" i="16"/>
  <c r="AN4" i="18"/>
  <c r="AL3" i="18"/>
  <c r="AE10" i="21"/>
  <c r="AM14" i="21"/>
  <c r="AF22" i="21"/>
  <c r="AJ9" i="21"/>
  <c r="AN10" i="21"/>
  <c r="AF14" i="21"/>
  <c r="AN14" i="21"/>
  <c r="AF16" i="21"/>
  <c r="AN16" i="21"/>
  <c r="AF18" i="21"/>
  <c r="AO20" i="21"/>
  <c r="AK21" i="21"/>
  <c r="AG22" i="21"/>
  <c r="AO22" i="21"/>
  <c r="AO26" i="21"/>
  <c r="AO4" i="18"/>
  <c r="AN39" i="14"/>
  <c r="AI27" i="21"/>
  <c r="AK3" i="16"/>
  <c r="AF3" i="16"/>
  <c r="AN3" i="16"/>
  <c r="AQ9" i="18"/>
  <c r="AQ10" i="18"/>
  <c r="AQ11" i="18"/>
  <c r="AN9" i="14"/>
  <c r="AF30" i="21"/>
  <c r="AJ39" i="21"/>
  <c r="AH16" i="16"/>
  <c r="AH2" i="16" s="1"/>
  <c r="AP2" i="16"/>
  <c r="AQ26" i="16"/>
  <c r="AQ26" i="21" s="1"/>
  <c r="AG38" i="16"/>
  <c r="AG38" i="21" s="1"/>
  <c r="AO38" i="16"/>
  <c r="AO2" i="16" s="1"/>
  <c r="AG40" i="16"/>
  <c r="AG4" i="16" s="1"/>
  <c r="AO40" i="16"/>
  <c r="AO4" i="16" s="1"/>
  <c r="AF3" i="18"/>
  <c r="AN3" i="18"/>
  <c r="AF2" i="18"/>
  <c r="AN2" i="18"/>
  <c r="AQ18" i="18"/>
  <c r="AE19" i="18"/>
  <c r="AQ20" i="18"/>
  <c r="AQ21" i="18"/>
  <c r="AQ23" i="18"/>
  <c r="AQ25" i="18"/>
  <c r="AI26" i="18"/>
  <c r="AQ26" i="18" s="1"/>
  <c r="AG38" i="18"/>
  <c r="AG3" i="18" s="1"/>
  <c r="AO38" i="18"/>
  <c r="AO3" i="18" s="1"/>
  <c r="AN5" i="14"/>
  <c r="AN12" i="14"/>
  <c r="AQ15" i="16"/>
  <c r="AQ15" i="18"/>
  <c r="AQ27" i="18"/>
  <c r="AJ3" i="16"/>
  <c r="AQ31" i="16"/>
  <c r="AQ33" i="16"/>
  <c r="AQ35" i="16"/>
  <c r="AI40" i="16"/>
  <c r="AI40" i="21" s="1"/>
  <c r="AH3" i="18"/>
  <c r="AP3" i="18"/>
  <c r="AG17" i="18"/>
  <c r="AO17" i="18"/>
  <c r="AK3" i="18"/>
  <c r="AE37" i="18"/>
  <c r="AE2" i="18" s="1"/>
  <c r="AM37" i="18"/>
  <c r="AM2" i="18" s="1"/>
  <c r="AI38" i="18"/>
  <c r="AQ9" i="16"/>
  <c r="AM4" i="16"/>
  <c r="AQ34" i="16"/>
  <c r="AN54" i="14"/>
  <c r="AN58" i="14"/>
  <c r="AO12" i="21"/>
  <c r="AG14" i="21"/>
  <c r="AO14" i="21"/>
  <c r="AK15" i="21"/>
  <c r="AO16" i="21"/>
  <c r="AO18" i="21"/>
  <c r="AP30" i="21"/>
  <c r="AL31" i="21"/>
  <c r="AH32" i="21"/>
  <c r="AP32" i="21"/>
  <c r="AL33" i="21"/>
  <c r="AH34" i="21"/>
  <c r="AL35" i="21"/>
  <c r="AP36" i="21"/>
  <c r="AP38" i="21"/>
  <c r="AJ2" i="16"/>
  <c r="AM19" i="21"/>
  <c r="AE21" i="21"/>
  <c r="AM21" i="21"/>
  <c r="AI22" i="21"/>
  <c r="AI24" i="21"/>
  <c r="AI26" i="21"/>
  <c r="AM27" i="21"/>
  <c r="AI28" i="21"/>
  <c r="AI34" i="21"/>
  <c r="AO19" i="16"/>
  <c r="AO3" i="16" s="1"/>
  <c r="AG27" i="16"/>
  <c r="AG27" i="21" s="1"/>
  <c r="AQ8" i="18"/>
  <c r="AQ13" i="18"/>
  <c r="AH2" i="18"/>
  <c r="AN44" i="14"/>
  <c r="AO38" i="21"/>
  <c r="AQ11" i="16"/>
  <c r="AQ17" i="16"/>
  <c r="AQ23" i="16"/>
  <c r="AQ24" i="16"/>
  <c r="AQ14" i="18"/>
  <c r="AQ16" i="18"/>
  <c r="AI17" i="18"/>
  <c r="AI2" i="18" s="1"/>
  <c r="AQ22" i="18"/>
  <c r="AM4" i="18"/>
  <c r="AP31" i="18"/>
  <c r="AQ31" i="18" s="1"/>
  <c r="AG37" i="18"/>
  <c r="AO37" i="18"/>
  <c r="AM38" i="21"/>
  <c r="AQ25" i="16"/>
  <c r="AI14" i="21"/>
  <c r="AJ14" i="21"/>
  <c r="AF19" i="21"/>
  <c r="AO33" i="21"/>
  <c r="AO35" i="21"/>
  <c r="AK36" i="21"/>
  <c r="AO37" i="21"/>
  <c r="AQ8" i="16"/>
  <c r="AQ12" i="16"/>
  <c r="AQ13" i="16"/>
  <c r="AQ14" i="16"/>
  <c r="AQ14" i="21" s="1"/>
  <c r="AE20" i="16"/>
  <c r="AQ20" i="16" s="1"/>
  <c r="AQ21" i="16"/>
  <c r="AQ22" i="16"/>
  <c r="AQ28" i="16"/>
  <c r="AJ2" i="18"/>
  <c r="AQ30" i="18"/>
  <c r="AQ32" i="18"/>
  <c r="AQ34" i="18"/>
  <c r="AM13" i="21"/>
  <c r="AI18" i="21"/>
  <c r="AF4" i="16"/>
  <c r="AN4" i="16"/>
  <c r="AQ30" i="16"/>
  <c r="AQ32" i="16"/>
  <c r="AQ36" i="16"/>
  <c r="AI39" i="16"/>
  <c r="AM10" i="21"/>
  <c r="AJ35" i="21"/>
  <c r="AI12" i="21"/>
  <c r="AO17" i="21"/>
  <c r="AN23" i="21"/>
  <c r="AK30" i="21"/>
  <c r="AJ36" i="21"/>
  <c r="AK10" i="17"/>
  <c r="AO38" i="17"/>
  <c r="AF2" i="15"/>
  <c r="AG13" i="21"/>
  <c r="AN18" i="21"/>
  <c r="AN30" i="21"/>
  <c r="AO14" i="17"/>
  <c r="AM20" i="17"/>
  <c r="AN13" i="21"/>
  <c r="AJ19" i="21"/>
  <c r="AO25" i="21"/>
  <c r="AN32" i="21"/>
  <c r="AH38" i="21"/>
  <c r="AO11" i="17"/>
  <c r="AH18" i="17"/>
  <c r="AL19" i="21"/>
  <c r="AG33" i="21"/>
  <c r="AK38" i="21"/>
  <c r="AN2" i="15"/>
  <c r="AN8" i="21"/>
  <c r="AH20" i="21"/>
  <c r="AK34" i="17"/>
  <c r="AJ37" i="17"/>
  <c r="AN5" i="15"/>
  <c r="AQ22" i="15"/>
  <c r="AQ24" i="15"/>
  <c r="AQ24" i="21" s="1"/>
  <c r="AQ32" i="15"/>
  <c r="AQ34" i="15"/>
  <c r="AQ36" i="15"/>
  <c r="AN9" i="21"/>
  <c r="AH19" i="17"/>
  <c r="AN16" i="13"/>
  <c r="AM31" i="21"/>
  <c r="AP29" i="17"/>
  <c r="AF5" i="15"/>
  <c r="AK3" i="15"/>
  <c r="AM19" i="17"/>
  <c r="AK19" i="21"/>
  <c r="AK11" i="21"/>
  <c r="AH5" i="15"/>
  <c r="AI9" i="17"/>
  <c r="AH8" i="21"/>
  <c r="AG8" i="21"/>
  <c r="AN16" i="17"/>
  <c r="AJ13" i="17"/>
  <c r="AL2" i="15"/>
  <c r="AL8" i="21"/>
  <c r="AM9" i="17"/>
  <c r="AI10" i="17"/>
  <c r="AH9" i="21"/>
  <c r="AH3" i="15"/>
  <c r="AL10" i="21"/>
  <c r="AM11" i="17"/>
  <c r="AL4" i="15"/>
  <c r="AJ12" i="17"/>
  <c r="AH11" i="21"/>
  <c r="AN13" i="17"/>
  <c r="AL12" i="21"/>
  <c r="AJ14" i="17"/>
  <c r="AH13" i="21"/>
  <c r="AJ15" i="17"/>
  <c r="AH15" i="21"/>
  <c r="AN18" i="17"/>
  <c r="AL18" i="21"/>
  <c r="AJ19" i="17"/>
  <c r="AH19" i="21"/>
  <c r="AN20" i="17"/>
  <c r="AL20" i="21"/>
  <c r="AI23" i="17"/>
  <c r="AH23" i="21"/>
  <c r="AE18" i="21"/>
  <c r="AI9" i="21"/>
  <c r="AJ10" i="17"/>
  <c r="AM12" i="21"/>
  <c r="AO13" i="17"/>
  <c r="AK14" i="17"/>
  <c r="AI13" i="21"/>
  <c r="AK15" i="17"/>
  <c r="AI15" i="21"/>
  <c r="AJ17" i="17"/>
  <c r="AI17" i="21"/>
  <c r="AN24" i="17"/>
  <c r="AM24" i="21"/>
  <c r="AM30" i="21"/>
  <c r="AN30" i="17"/>
  <c r="AM36" i="21"/>
  <c r="AO36" i="17"/>
  <c r="AI4" i="15"/>
  <c r="AI37" i="21"/>
  <c r="AK37" i="17"/>
  <c r="AQ38" i="15"/>
  <c r="AG38" i="17"/>
  <c r="AJ39" i="17"/>
  <c r="AP8" i="21"/>
  <c r="AN40" i="17"/>
  <c r="AL3" i="15"/>
  <c r="AM10" i="17"/>
  <c r="AL9" i="21"/>
  <c r="AI11" i="17"/>
  <c r="AH10" i="21"/>
  <c r="AN12" i="17"/>
  <c r="AL11" i="21"/>
  <c r="AM5" i="15"/>
  <c r="AM8" i="21"/>
  <c r="AN9" i="17"/>
  <c r="AI11" i="21"/>
  <c r="AK12" i="17"/>
  <c r="AO16" i="17"/>
  <c r="AM16" i="21"/>
  <c r="AO18" i="17"/>
  <c r="AM18" i="21"/>
  <c r="AK19" i="17"/>
  <c r="AI19" i="21"/>
  <c r="AO20" i="17"/>
  <c r="AM20" i="21"/>
  <c r="AJ23" i="17"/>
  <c r="AI23" i="21"/>
  <c r="AI25" i="21"/>
  <c r="AJ25" i="17"/>
  <c r="AJ29" i="17"/>
  <c r="AI29" i="21"/>
  <c r="AQ30" i="15"/>
  <c r="AM32" i="21"/>
  <c r="AO32" i="17"/>
  <c r="AK33" i="17"/>
  <c r="AI33" i="21"/>
  <c r="AO34" i="17"/>
  <c r="AM34" i="21"/>
  <c r="AK35" i="17"/>
  <c r="AI35" i="21"/>
  <c r="AJ31" i="17"/>
  <c r="AP9" i="17"/>
  <c r="AO8" i="21"/>
  <c r="AL10" i="17"/>
  <c r="AK9" i="21"/>
  <c r="AG4" i="15"/>
  <c r="AH11" i="17"/>
  <c r="AG10" i="21"/>
  <c r="AO4" i="15"/>
  <c r="AO10" i="21"/>
  <c r="AP11" i="17"/>
  <c r="AI13" i="17"/>
  <c r="AG12" i="21"/>
  <c r="AK13" i="21"/>
  <c r="AM14" i="17"/>
  <c r="AM15" i="17"/>
  <c r="AK4" i="15"/>
  <c r="AI16" i="17"/>
  <c r="AG16" i="21"/>
  <c r="AL17" i="17"/>
  <c r="AK17" i="21"/>
  <c r="AI18" i="17"/>
  <c r="AG18" i="21"/>
  <c r="AI20" i="17"/>
  <c r="AG20" i="21"/>
  <c r="AL23" i="17"/>
  <c r="AK23" i="21"/>
  <c r="AH24" i="17"/>
  <c r="AG24" i="21"/>
  <c r="AP24" i="17"/>
  <c r="AO24" i="21"/>
  <c r="AL25" i="17"/>
  <c r="AK25" i="21"/>
  <c r="AL29" i="17"/>
  <c r="AK29" i="21"/>
  <c r="AG30" i="21"/>
  <c r="AH30" i="17"/>
  <c r="AO30" i="21"/>
  <c r="AP30" i="17"/>
  <c r="AK31" i="21"/>
  <c r="AL31" i="17"/>
  <c r="AG32" i="21"/>
  <c r="AI32" i="17"/>
  <c r="AM33" i="17"/>
  <c r="AK33" i="21"/>
  <c r="AI34" i="17"/>
  <c r="AG34" i="21"/>
  <c r="AM35" i="17"/>
  <c r="AK35" i="21"/>
  <c r="AI36" i="17"/>
  <c r="AG36" i="21"/>
  <c r="AM37" i="17"/>
  <c r="AK37" i="21"/>
  <c r="AI38" i="17"/>
  <c r="AK39" i="21"/>
  <c r="AL39" i="17"/>
  <c r="AH40" i="17"/>
  <c r="AO40" i="21"/>
  <c r="AP40" i="17"/>
  <c r="AJ2" i="15"/>
  <c r="AF12" i="21"/>
  <c r="AH13" i="17"/>
  <c r="AN12" i="21"/>
  <c r="AP13" i="17"/>
  <c r="AF4" i="15"/>
  <c r="AH20" i="17"/>
  <c r="AN4" i="15"/>
  <c r="AP20" i="17"/>
  <c r="AK23" i="17"/>
  <c r="AJ23" i="21"/>
  <c r="AJ31" i="21"/>
  <c r="AK31" i="17"/>
  <c r="AH34" i="17"/>
  <c r="AF34" i="21"/>
  <c r="AP34" i="17"/>
  <c r="AN34" i="21"/>
  <c r="AF3" i="15"/>
  <c r="AH36" i="17"/>
  <c r="AN3" i="15"/>
  <c r="AP36" i="17"/>
  <c r="AJ37" i="21"/>
  <c r="AL37" i="17"/>
  <c r="AF38" i="21"/>
  <c r="AH38" i="17"/>
  <c r="AN38" i="21"/>
  <c r="AP38" i="17"/>
  <c r="AF40" i="21"/>
  <c r="AG40" i="17"/>
  <c r="AN40" i="21"/>
  <c r="AO40" i="17"/>
  <c r="AF8" i="21"/>
  <c r="AM9" i="21"/>
  <c r="AK10" i="21"/>
  <c r="AJ11" i="21"/>
  <c r="AF13" i="21"/>
  <c r="AJ15" i="21"/>
  <c r="AG17" i="21"/>
  <c r="AJ20" i="21"/>
  <c r="AM23" i="21"/>
  <c r="AN24" i="21"/>
  <c r="AL30" i="21"/>
  <c r="AN31" i="21"/>
  <c r="AN36" i="21"/>
  <c r="AO25" i="17"/>
  <c r="AK29" i="17"/>
  <c r="AP35" i="17"/>
  <c r="AH37" i="17"/>
  <c r="AN38" i="17"/>
  <c r="AI40" i="17"/>
  <c r="AN42" i="13"/>
  <c r="AN41" i="13"/>
  <c r="AN52" i="13"/>
  <c r="AH2" i="15"/>
  <c r="AM25" i="17"/>
  <c r="AL25" i="21"/>
  <c r="AH4" i="15"/>
  <c r="AJ34" i="17"/>
  <c r="AP4" i="15"/>
  <c r="AJ36" i="17"/>
  <c r="AH36" i="21"/>
  <c r="AN37" i="17"/>
  <c r="AL37" i="21"/>
  <c r="AM39" i="17"/>
  <c r="AF9" i="21"/>
  <c r="AJ12" i="21"/>
  <c r="AM15" i="21"/>
  <c r="AK16" i="21"/>
  <c r="AG25" i="21"/>
  <c r="AN29" i="21"/>
  <c r="AF32" i="21"/>
  <c r="AH33" i="21"/>
  <c r="AJ34" i="21"/>
  <c r="AI15" i="17"/>
  <c r="AP16" i="17"/>
  <c r="AJ18" i="17"/>
  <c r="AP19" i="17"/>
  <c r="AL24" i="17"/>
  <c r="AN38" i="13"/>
  <c r="AQ9" i="15"/>
  <c r="AQ11" i="15"/>
  <c r="AQ13" i="15"/>
  <c r="AK16" i="17"/>
  <c r="AI16" i="21"/>
  <c r="AQ17" i="15"/>
  <c r="AQ19" i="15"/>
  <c r="AK20" i="17"/>
  <c r="AI20" i="21"/>
  <c r="AQ25" i="15"/>
  <c r="AM4" i="15"/>
  <c r="AN25" i="17"/>
  <c r="AQ27" i="15"/>
  <c r="AN29" i="17"/>
  <c r="AM29" i="21"/>
  <c r="AI32" i="21"/>
  <c r="AK32" i="17"/>
  <c r="AM3" i="15"/>
  <c r="AQ35" i="15"/>
  <c r="AK38" i="17"/>
  <c r="AJ40" i="17"/>
  <c r="AI8" i="21"/>
  <c r="AF10" i="21"/>
  <c r="AM11" i="21"/>
  <c r="AN15" i="21"/>
  <c r="AJ17" i="21"/>
  <c r="AN20" i="21"/>
  <c r="AF24" i="21"/>
  <c r="AH25" i="21"/>
  <c r="AF31" i="21"/>
  <c r="AJ33" i="21"/>
  <c r="AL34" i="21"/>
  <c r="AM35" i="21"/>
  <c r="AG39" i="21"/>
  <c r="AK18" i="17"/>
  <c r="AG23" i="17"/>
  <c r="AM24" i="17"/>
  <c r="AG30" i="17"/>
  <c r="AM31" i="17"/>
  <c r="AK36" i="17"/>
  <c r="AP37" i="17"/>
  <c r="AI39" i="17"/>
  <c r="AN5" i="13"/>
  <c r="AN15" i="17"/>
  <c r="AL15" i="21"/>
  <c r="AP2" i="15"/>
  <c r="AJ5" i="15"/>
  <c r="AJ8" i="21"/>
  <c r="AJ4" i="15"/>
  <c r="AK11" i="17"/>
  <c r="AG17" i="17"/>
  <c r="AF17" i="21"/>
  <c r="AO17" i="17"/>
  <c r="AN17" i="21"/>
  <c r="AL18" i="17"/>
  <c r="AJ18" i="21"/>
  <c r="AJ3" i="15"/>
  <c r="AK24" i="17"/>
  <c r="AK30" i="17"/>
  <c r="AJ30" i="21"/>
  <c r="AF33" i="21"/>
  <c r="AH33" i="17"/>
  <c r="AN33" i="21"/>
  <c r="AP33" i="17"/>
  <c r="AG39" i="17"/>
  <c r="AF39" i="21"/>
  <c r="AO39" i="17"/>
  <c r="AN39" i="21"/>
  <c r="AK8" i="21"/>
  <c r="AN11" i="21"/>
  <c r="AJ13" i="21"/>
  <c r="AF15" i="21"/>
  <c r="AH18" i="21"/>
  <c r="AH24" i="21"/>
  <c r="AJ25" i="21"/>
  <c r="AH31" i="21"/>
  <c r="AJ32" i="21"/>
  <c r="AF36" i="21"/>
  <c r="AL12" i="17"/>
  <c r="AN33" i="17"/>
  <c r="AM36" i="17"/>
  <c r="AK39" i="17"/>
  <c r="AN51" i="13"/>
  <c r="AN50" i="13"/>
  <c r="AG3" i="15"/>
  <c r="AG9" i="21"/>
  <c r="AO3" i="15"/>
  <c r="AO9" i="21"/>
  <c r="AI19" i="17"/>
  <c r="AG19" i="21"/>
  <c r="AG2" i="15"/>
  <c r="AG23" i="21"/>
  <c r="AO2" i="15"/>
  <c r="AO23" i="21"/>
  <c r="AH31" i="17"/>
  <c r="AG31" i="21"/>
  <c r="AP31" i="17"/>
  <c r="AO31" i="21"/>
  <c r="AK34" i="21"/>
  <c r="AM34" i="17"/>
  <c r="AG37" i="21"/>
  <c r="AI37" i="17"/>
  <c r="AL40" i="17"/>
  <c r="AF11" i="21"/>
  <c r="AL13" i="21"/>
  <c r="AL17" i="21"/>
  <c r="AF20" i="21"/>
  <c r="AJ24" i="21"/>
  <c r="AF29" i="21"/>
  <c r="AH30" i="21"/>
  <c r="AK32" i="21"/>
  <c r="AM33" i="21"/>
  <c r="AM37" i="21"/>
  <c r="AM39" i="21"/>
  <c r="AM23" i="17"/>
  <c r="AG25" i="17"/>
  <c r="AO33" i="17"/>
  <c r="AH35" i="17"/>
  <c r="AN36" i="17"/>
  <c r="AN30" i="13"/>
  <c r="AH29" i="21"/>
  <c r="AI29" i="17"/>
  <c r="AN32" i="17"/>
  <c r="AL32" i="21"/>
  <c r="AH35" i="21"/>
  <c r="AJ35" i="17"/>
  <c r="AI10" i="21"/>
  <c r="AG11" i="21"/>
  <c r="AK14" i="21"/>
  <c r="AM17" i="21"/>
  <c r="AK18" i="21"/>
  <c r="AM25" i="21"/>
  <c r="AG29" i="21"/>
  <c r="AI30" i="21"/>
  <c r="AP34" i="21"/>
  <c r="AO39" i="21"/>
  <c r="AN36" i="13"/>
  <c r="AN47" i="13"/>
  <c r="AE16" i="21"/>
  <c r="AG36" i="17"/>
  <c r="AG34" i="17"/>
  <c r="AE26" i="21"/>
  <c r="AF11" i="17"/>
  <c r="AG32" i="17"/>
  <c r="AE24" i="21"/>
  <c r="AF9" i="17"/>
  <c r="AQ40" i="15"/>
  <c r="AQ8" i="15"/>
  <c r="AE8" i="21"/>
  <c r="AE34" i="21"/>
  <c r="AE32" i="21"/>
  <c r="AE3" i="15"/>
  <c r="AG12" i="17"/>
  <c r="AG14" i="17"/>
  <c r="AG16" i="17"/>
  <c r="AG18" i="17"/>
  <c r="AG20" i="17"/>
  <c r="AQ15" i="15"/>
  <c r="AQ23" i="15"/>
  <c r="AQ31" i="15"/>
  <c r="AQ39" i="15"/>
  <c r="AE13" i="21"/>
  <c r="AE29" i="21"/>
  <c r="AE37" i="21"/>
  <c r="AF24" i="17"/>
  <c r="AF30" i="17"/>
  <c r="AE15" i="21"/>
  <c r="AE23" i="21"/>
  <c r="AE39" i="21"/>
  <c r="AE12" i="21"/>
  <c r="AE36" i="21"/>
  <c r="AG13" i="17"/>
  <c r="AG19" i="17"/>
  <c r="AE31" i="21"/>
  <c r="AE5" i="15"/>
  <c r="AQ21" i="15"/>
  <c r="AE9" i="21"/>
  <c r="AE17" i="21"/>
  <c r="AE25" i="21"/>
  <c r="AE33" i="21"/>
  <c r="AF25" i="17"/>
  <c r="AF17" i="17"/>
  <c r="AQ29" i="15"/>
  <c r="AQ10" i="15"/>
  <c r="AQ28" i="15"/>
  <c r="AQ28" i="21" s="1"/>
  <c r="AE22" i="21"/>
  <c r="AE30" i="21"/>
  <c r="AE38" i="21"/>
  <c r="AG33" i="17"/>
  <c r="AG35" i="17"/>
  <c r="AE11" i="21"/>
  <c r="AE19" i="21"/>
  <c r="AE27" i="21"/>
  <c r="AE35" i="21"/>
  <c r="AF10" i="17"/>
  <c r="AE3" i="18"/>
  <c r="AI4" i="18"/>
  <c r="AQ24" i="18"/>
  <c r="AQ10" i="16"/>
  <c r="AQ18" i="16"/>
  <c r="AQ37" i="16"/>
  <c r="AE3" i="16"/>
  <c r="AG5" i="15"/>
  <c r="AO5" i="15"/>
  <c r="AE4" i="15"/>
  <c r="AQ20" i="15"/>
  <c r="AI5" i="15"/>
  <c r="AI2" i="15"/>
  <c r="AQ33" i="15"/>
  <c r="AQ37" i="15"/>
  <c r="AL5" i="15"/>
  <c r="AL4" i="16" l="1"/>
  <c r="AL4" i="21" s="1"/>
  <c r="AE4" i="18"/>
  <c r="AE5" i="18" s="1"/>
  <c r="AL3" i="16"/>
  <c r="AL3" i="21" s="1"/>
  <c r="AQ39" i="16"/>
  <c r="AI38" i="21"/>
  <c r="AH40" i="21"/>
  <c r="AH21" i="13"/>
  <c r="AN21" i="13" s="1"/>
  <c r="AN22" i="13"/>
  <c r="AK12" i="15"/>
  <c r="AQ18" i="21"/>
  <c r="AM2" i="21"/>
  <c r="AE2" i="21"/>
  <c r="AQ29" i="21"/>
  <c r="AP3" i="21"/>
  <c r="AN43" i="14"/>
  <c r="AJ4" i="16"/>
  <c r="AJ4" i="21" s="1"/>
  <c r="AQ39" i="18"/>
  <c r="AP40" i="21"/>
  <c r="AO5" i="17"/>
  <c r="AQ33" i="21"/>
  <c r="AQ17" i="17"/>
  <c r="AO4" i="17"/>
  <c r="AF5" i="16"/>
  <c r="AF5" i="21" s="1"/>
  <c r="AN2" i="21"/>
  <c r="AQ16" i="16"/>
  <c r="AQ16" i="21" s="1"/>
  <c r="AQ22" i="21"/>
  <c r="AQ15" i="21"/>
  <c r="AP2" i="18"/>
  <c r="AP5" i="18" s="1"/>
  <c r="AO19" i="21"/>
  <c r="AH16" i="21"/>
  <c r="AQ11" i="21"/>
  <c r="AQ34" i="21"/>
  <c r="AQ9" i="21"/>
  <c r="AE4" i="16"/>
  <c r="AE4" i="21" s="1"/>
  <c r="AQ17" i="21"/>
  <c r="AF2" i="21"/>
  <c r="AL2" i="21"/>
  <c r="AQ36" i="21"/>
  <c r="AQ37" i="21"/>
  <c r="AF3" i="21"/>
  <c r="AN3" i="21"/>
  <c r="AH3" i="21"/>
  <c r="AQ8" i="21"/>
  <c r="AK6" i="17"/>
  <c r="AO3" i="17"/>
  <c r="AJ5" i="18"/>
  <c r="AN5" i="18"/>
  <c r="AI4" i="16"/>
  <c r="AI39" i="21"/>
  <c r="AF5" i="18"/>
  <c r="AP5" i="16"/>
  <c r="AP5" i="21" s="1"/>
  <c r="AM3" i="21"/>
  <c r="AQ38" i="18"/>
  <c r="AP2" i="21"/>
  <c r="AO4" i="21"/>
  <c r="AL5" i="18"/>
  <c r="AJ3" i="21"/>
  <c r="AM4" i="21"/>
  <c r="AP4" i="21"/>
  <c r="AK5" i="16"/>
  <c r="AH5" i="18"/>
  <c r="AN5" i="16"/>
  <c r="AN5" i="21" s="1"/>
  <c r="AK3" i="21"/>
  <c r="AQ35" i="21"/>
  <c r="AQ13" i="21"/>
  <c r="AK4" i="21"/>
  <c r="AQ19" i="16"/>
  <c r="AQ19" i="21" s="1"/>
  <c r="AG3" i="16"/>
  <c r="AG3" i="21" s="1"/>
  <c r="AM5" i="16"/>
  <c r="AM5" i="21" s="1"/>
  <c r="AK5" i="18"/>
  <c r="AQ27" i="16"/>
  <c r="AQ27" i="21" s="1"/>
  <c r="AQ25" i="21"/>
  <c r="AH5" i="16"/>
  <c r="AH5" i="21" s="1"/>
  <c r="AM5" i="18"/>
  <c r="AQ19" i="18"/>
  <c r="AJ2" i="21"/>
  <c r="AH2" i="21"/>
  <c r="AQ17" i="18"/>
  <c r="AQ23" i="21"/>
  <c r="AG2" i="18"/>
  <c r="AG5" i="18" s="1"/>
  <c r="AO5" i="16"/>
  <c r="AO5" i="21" s="1"/>
  <c r="AG40" i="21"/>
  <c r="AQ40" i="16"/>
  <c r="AQ40" i="21" s="1"/>
  <c r="AO2" i="18"/>
  <c r="AO5" i="18" s="1"/>
  <c r="AQ38" i="16"/>
  <c r="AQ38" i="21" s="1"/>
  <c r="AO3" i="21"/>
  <c r="AI3" i="16"/>
  <c r="AI3" i="21" s="1"/>
  <c r="AO2" i="21"/>
  <c r="AH4" i="21"/>
  <c r="AG2" i="16"/>
  <c r="AQ30" i="21"/>
  <c r="AE20" i="21"/>
  <c r="AF4" i="21"/>
  <c r="AQ39" i="21"/>
  <c r="AI2" i="21"/>
  <c r="AQ10" i="21"/>
  <c r="AQ21" i="21"/>
  <c r="AQ31" i="21"/>
  <c r="AE3" i="21"/>
  <c r="AN4" i="21"/>
  <c r="AG4" i="21"/>
  <c r="AQ32" i="21"/>
  <c r="AQ37" i="18"/>
  <c r="AI3" i="18"/>
  <c r="AQ3" i="18" s="1"/>
  <c r="AP3" i="17"/>
  <c r="AH4" i="17"/>
  <c r="AH3" i="17"/>
  <c r="AJ5" i="17"/>
  <c r="AI5" i="17"/>
  <c r="AQ12" i="17"/>
  <c r="AJ6" i="17"/>
  <c r="AN5" i="17"/>
  <c r="AK4" i="17"/>
  <c r="AH6" i="17"/>
  <c r="AN6" i="17"/>
  <c r="AN4" i="17"/>
  <c r="AL6" i="17"/>
  <c r="AP6" i="17"/>
  <c r="AG5" i="17"/>
  <c r="AJ3" i="17"/>
  <c r="AL5" i="17"/>
  <c r="AH5" i="17"/>
  <c r="AM5" i="17"/>
  <c r="AO6" i="17"/>
  <c r="AI3" i="17"/>
  <c r="AL3" i="17"/>
  <c r="AM4" i="17"/>
  <c r="AK5" i="17"/>
  <c r="AP4" i="17"/>
  <c r="AN3" i="17"/>
  <c r="AI6" i="17"/>
  <c r="AK3" i="17"/>
  <c r="AL4" i="17"/>
  <c r="AI4" i="17"/>
  <c r="AP5" i="17"/>
  <c r="AJ4" i="17"/>
  <c r="AQ3" i="15"/>
  <c r="AQ4" i="15"/>
  <c r="AQ20" i="21"/>
  <c r="AQ4" i="18"/>
  <c r="AL5" i="16" l="1"/>
  <c r="AL5" i="21" s="1"/>
  <c r="AM13" i="17"/>
  <c r="AK2" i="15"/>
  <c r="AK2" i="21" s="1"/>
  <c r="AK12" i="21"/>
  <c r="AQ12" i="15"/>
  <c r="AK5" i="15"/>
  <c r="AK5" i="21" s="1"/>
  <c r="AJ5" i="16"/>
  <c r="AJ5" i="21" s="1"/>
  <c r="AE5" i="16"/>
  <c r="AE5" i="21" s="1"/>
  <c r="AQ4" i="16"/>
  <c r="AQ4" i="21" s="1"/>
  <c r="AI4" i="21"/>
  <c r="AG5" i="16"/>
  <c r="AG5" i="21" s="1"/>
  <c r="AQ2" i="16"/>
  <c r="AQ2" i="18"/>
  <c r="AG2" i="21"/>
  <c r="AI5" i="16"/>
  <c r="AI5" i="21" s="1"/>
  <c r="AI5" i="18"/>
  <c r="AQ5" i="18" s="1"/>
  <c r="AQ3" i="16"/>
  <c r="AQ3" i="21" s="1"/>
  <c r="AM3" i="17" l="1"/>
  <c r="AM6" i="17"/>
  <c r="AQ2" i="15"/>
  <c r="AQ2" i="21" s="1"/>
  <c r="AQ12" i="21"/>
  <c r="AQ5" i="15"/>
  <c r="AQ5" i="16"/>
  <c r="AQ5" i="21" l="1"/>
  <c r="Z8" i="14"/>
  <c r="Z9" i="14"/>
  <c r="Z12" i="13" l="1"/>
  <c r="Z12" i="14"/>
  <c r="Z10" i="13" l="1"/>
  <c r="Z10" i="14"/>
  <c r="Z69" i="14"/>
  <c r="Z67" i="14"/>
  <c r="Z53" i="13"/>
  <c r="Z51" i="13"/>
  <c r="Y48" i="13" l="1"/>
  <c r="Y49" i="13"/>
  <c r="X49" i="13"/>
  <c r="X48" i="13"/>
  <c r="Y51" i="13"/>
  <c r="Y68" i="14"/>
  <c r="Y67" i="14"/>
  <c r="X67" i="14"/>
  <c r="Y9" i="14"/>
  <c r="AA16" i="19" l="1"/>
  <c r="Z16" i="19"/>
  <c r="Y16" i="19"/>
  <c r="AA12" i="15"/>
  <c r="X51" i="13"/>
  <c r="X30" i="13"/>
  <c r="Y30" i="13"/>
  <c r="Z30" i="13"/>
  <c r="N7" i="14"/>
  <c r="AA7" i="14"/>
  <c r="U20" i="14"/>
  <c r="W10" i="13"/>
  <c r="W36" i="13"/>
  <c r="W67" i="14"/>
  <c r="W51" i="13"/>
  <c r="V8" i="14" l="1"/>
  <c r="V9" i="14"/>
  <c r="U30" i="13"/>
  <c r="V36" i="13"/>
  <c r="V53" i="13"/>
  <c r="V51" i="13"/>
  <c r="V69" i="14"/>
  <c r="V67" i="14"/>
  <c r="T16" i="19" l="1"/>
  <c r="S16" i="19"/>
  <c r="R16" i="19"/>
  <c r="AS2" i="19"/>
  <c r="AT2" i="19"/>
  <c r="U9" i="14" l="1"/>
  <c r="U8" i="14"/>
  <c r="T12" i="13" l="1"/>
  <c r="P14" i="21" l="1"/>
  <c r="O14" i="21"/>
  <c r="N14" i="21"/>
  <c r="M14" i="21"/>
  <c r="L14" i="21"/>
  <c r="K14" i="21"/>
  <c r="J14" i="21"/>
  <c r="I14" i="21"/>
  <c r="H14" i="21"/>
  <c r="G14" i="21"/>
  <c r="F14" i="21"/>
  <c r="E14" i="21"/>
  <c r="U63" i="14"/>
  <c r="V63" i="14"/>
  <c r="W63" i="14"/>
  <c r="X63" i="14"/>
  <c r="Y63" i="14"/>
  <c r="Z63" i="14"/>
  <c r="U52" i="13"/>
  <c r="U51" i="13"/>
  <c r="U68" i="14"/>
  <c r="U67" i="14"/>
  <c r="S14" i="16"/>
  <c r="T14" i="16"/>
  <c r="U14" i="16"/>
  <c r="V14" i="16"/>
  <c r="W14" i="16"/>
  <c r="X14" i="16"/>
  <c r="Y14" i="16"/>
  <c r="Z14" i="16"/>
  <c r="AA14" i="16"/>
  <c r="AB14" i="16"/>
  <c r="AC14" i="16"/>
  <c r="R14" i="16"/>
  <c r="Q14" i="16"/>
  <c r="Q14" i="21" s="1"/>
  <c r="S12" i="15"/>
  <c r="T12" i="15"/>
  <c r="U12" i="15"/>
  <c r="V12" i="15"/>
  <c r="W12" i="15"/>
  <c r="X12" i="15"/>
  <c r="Y12" i="15"/>
  <c r="Z12" i="15"/>
  <c r="AB12" i="15"/>
  <c r="AE13" i="17" s="1"/>
  <c r="AC12" i="15"/>
  <c r="AF13" i="17" s="1"/>
  <c r="S13" i="15"/>
  <c r="T13" i="15"/>
  <c r="U13" i="15"/>
  <c r="V13" i="15"/>
  <c r="W13" i="15"/>
  <c r="X13" i="15"/>
  <c r="Y13" i="15"/>
  <c r="Z13" i="15"/>
  <c r="AA13" i="15"/>
  <c r="AB13" i="15"/>
  <c r="AE14" i="17" s="1"/>
  <c r="AC13" i="15"/>
  <c r="AF14" i="17" s="1"/>
  <c r="S14" i="15"/>
  <c r="T14" i="15"/>
  <c r="U14" i="15"/>
  <c r="V14" i="15"/>
  <c r="W14" i="15"/>
  <c r="X14" i="15"/>
  <c r="Y14" i="15"/>
  <c r="Z14" i="15"/>
  <c r="AA14" i="15"/>
  <c r="AB14" i="15"/>
  <c r="AC14" i="15"/>
  <c r="S15" i="15"/>
  <c r="T15" i="15"/>
  <c r="U15" i="15"/>
  <c r="V15" i="15"/>
  <c r="W15" i="15"/>
  <c r="X15" i="15"/>
  <c r="Y15" i="15"/>
  <c r="Z15" i="15"/>
  <c r="AA15" i="15"/>
  <c r="AB15" i="15"/>
  <c r="AE15" i="17" s="1"/>
  <c r="AC15" i="15"/>
  <c r="AF15" i="17" s="1"/>
  <c r="R15" i="15"/>
  <c r="R14" i="15"/>
  <c r="V21" i="13"/>
  <c r="W21" i="13"/>
  <c r="X21" i="13"/>
  <c r="Y21" i="13"/>
  <c r="Z21" i="13"/>
  <c r="U21" i="13"/>
  <c r="AQ15" i="17" l="1"/>
  <c r="AQ14" i="17"/>
  <c r="AQ13" i="17"/>
  <c r="S14" i="21"/>
  <c r="W14" i="21"/>
  <c r="AA14" i="21"/>
  <c r="U14" i="21"/>
  <c r="AC14" i="21"/>
  <c r="Z14" i="21"/>
  <c r="Y14" i="21"/>
  <c r="V14" i="21"/>
  <c r="AB14" i="21"/>
  <c r="X14" i="21"/>
  <c r="T14" i="21"/>
  <c r="AD14" i="16"/>
  <c r="AD14" i="21" s="1"/>
  <c r="R14" i="21"/>
  <c r="T63" i="14"/>
  <c r="T9" i="14" l="1"/>
  <c r="T8" i="14"/>
  <c r="T68" i="14" l="1"/>
  <c r="T67" i="14"/>
  <c r="T52" i="13"/>
  <c r="T51" i="13"/>
  <c r="S9" i="14" l="1"/>
  <c r="S8" i="14"/>
  <c r="S5" i="14" s="1"/>
  <c r="S63" i="14" l="1"/>
  <c r="S16" i="14"/>
  <c r="S45" i="13"/>
  <c r="S40" i="14" l="1"/>
  <c r="S38" i="13"/>
  <c r="S51" i="13"/>
  <c r="S68" i="14"/>
  <c r="S67" i="14"/>
  <c r="R42" i="13" l="1"/>
  <c r="U38" i="15" s="1"/>
  <c r="R62" i="14" l="1"/>
  <c r="U15" i="18" s="1"/>
  <c r="R9" i="14"/>
  <c r="U27" i="18" s="1"/>
  <c r="R8" i="14"/>
  <c r="U26" i="18" s="1"/>
  <c r="R12" i="18"/>
  <c r="R13" i="18"/>
  <c r="R14" i="18"/>
  <c r="T14" i="18"/>
  <c r="U14" i="18"/>
  <c r="V14" i="18"/>
  <c r="W14" i="18"/>
  <c r="X14" i="18"/>
  <c r="Y14" i="18"/>
  <c r="Z14" i="18"/>
  <c r="AA14" i="18"/>
  <c r="AB14" i="18"/>
  <c r="AC14" i="18"/>
  <c r="S14" i="18"/>
  <c r="T13" i="18"/>
  <c r="U13" i="18"/>
  <c r="V13" i="18"/>
  <c r="W13" i="18"/>
  <c r="X13" i="18"/>
  <c r="Y13" i="18"/>
  <c r="Z13" i="18"/>
  <c r="AA13" i="18"/>
  <c r="AB13" i="18"/>
  <c r="AC13" i="18"/>
  <c r="S13" i="18"/>
  <c r="T12" i="18"/>
  <c r="U12" i="18"/>
  <c r="V12" i="18"/>
  <c r="W12" i="18"/>
  <c r="X12" i="18"/>
  <c r="Y12" i="18"/>
  <c r="Z12" i="18"/>
  <c r="AA12" i="18"/>
  <c r="AB12" i="18"/>
  <c r="AC12" i="18"/>
  <c r="S12" i="18"/>
  <c r="S22" i="18"/>
  <c r="T22" i="18"/>
  <c r="U22" i="18"/>
  <c r="V22" i="18"/>
  <c r="W22" i="18"/>
  <c r="X22" i="18"/>
  <c r="Y22" i="18"/>
  <c r="Z22" i="18"/>
  <c r="AA22" i="18"/>
  <c r="AB22" i="18"/>
  <c r="AC22" i="18"/>
  <c r="S23" i="18"/>
  <c r="T23" i="18"/>
  <c r="U23" i="18"/>
  <c r="V23" i="18"/>
  <c r="W23" i="18"/>
  <c r="X23" i="18"/>
  <c r="Y23" i="18"/>
  <c r="Z23" i="18"/>
  <c r="AA23" i="18"/>
  <c r="AB23" i="18"/>
  <c r="AC23" i="18"/>
  <c r="S24" i="18"/>
  <c r="T24" i="18"/>
  <c r="U24" i="18"/>
  <c r="V24" i="18"/>
  <c r="W24" i="18"/>
  <c r="X24" i="18"/>
  <c r="Y24" i="18"/>
  <c r="Z24" i="18"/>
  <c r="AA24" i="18"/>
  <c r="AB24" i="18"/>
  <c r="AC24" i="18"/>
  <c r="S25" i="18"/>
  <c r="T25" i="18"/>
  <c r="U25" i="18"/>
  <c r="V25" i="18"/>
  <c r="W25" i="18"/>
  <c r="X25" i="18"/>
  <c r="Y25" i="18"/>
  <c r="Z25" i="18"/>
  <c r="AA25" i="18"/>
  <c r="AB25" i="18"/>
  <c r="AC25" i="18"/>
  <c r="V26" i="18"/>
  <c r="W26" i="18"/>
  <c r="X26" i="18"/>
  <c r="Y26" i="18"/>
  <c r="Z26" i="18"/>
  <c r="AA26" i="18"/>
  <c r="AB26" i="18"/>
  <c r="AC26" i="18"/>
  <c r="S27" i="18"/>
  <c r="V27" i="18"/>
  <c r="W27" i="18"/>
  <c r="X27" i="18"/>
  <c r="Y27" i="18"/>
  <c r="Z27" i="18"/>
  <c r="AA27" i="18"/>
  <c r="AB27" i="18"/>
  <c r="AC27" i="18"/>
  <c r="S28" i="18"/>
  <c r="T28" i="18"/>
  <c r="U28" i="18"/>
  <c r="V28" i="18"/>
  <c r="W28" i="18"/>
  <c r="X28" i="18"/>
  <c r="Y28" i="18"/>
  <c r="Z28" i="18"/>
  <c r="AA28" i="18"/>
  <c r="AB28" i="18"/>
  <c r="AC28" i="18"/>
  <c r="S29" i="18"/>
  <c r="T29" i="18"/>
  <c r="U29" i="18"/>
  <c r="V29" i="18"/>
  <c r="W29" i="18"/>
  <c r="X29" i="18"/>
  <c r="Y29" i="18"/>
  <c r="Z29" i="18"/>
  <c r="AA29" i="18"/>
  <c r="AB29" i="18"/>
  <c r="AC29" i="18"/>
  <c r="S30" i="18"/>
  <c r="T30" i="18"/>
  <c r="U30" i="18"/>
  <c r="V30" i="18"/>
  <c r="W30" i="18"/>
  <c r="X30" i="18"/>
  <c r="Y30" i="18"/>
  <c r="Z30" i="18"/>
  <c r="AA30" i="18"/>
  <c r="AB30" i="18"/>
  <c r="AC30" i="18"/>
  <c r="S31" i="18"/>
  <c r="T31" i="18"/>
  <c r="U31" i="18"/>
  <c r="V31" i="18"/>
  <c r="W31" i="18"/>
  <c r="X31" i="18"/>
  <c r="Y31" i="18"/>
  <c r="Z31" i="18"/>
  <c r="AA31" i="18"/>
  <c r="AB31" i="18"/>
  <c r="AC31" i="18"/>
  <c r="S32" i="18"/>
  <c r="T32" i="18"/>
  <c r="U32" i="18"/>
  <c r="V32" i="18"/>
  <c r="W32" i="18"/>
  <c r="X32" i="18"/>
  <c r="Y32" i="18"/>
  <c r="Z32" i="18"/>
  <c r="AA32" i="18"/>
  <c r="AB32" i="18"/>
  <c r="AC32" i="18"/>
  <c r="S33" i="18"/>
  <c r="T33" i="18"/>
  <c r="U33" i="18"/>
  <c r="V33" i="18"/>
  <c r="W33" i="18"/>
  <c r="X33" i="18"/>
  <c r="Y33" i="18"/>
  <c r="Z33" i="18"/>
  <c r="AA33" i="18"/>
  <c r="AB33" i="18"/>
  <c r="AC33" i="18"/>
  <c r="S34" i="18"/>
  <c r="T34" i="18"/>
  <c r="U34" i="18"/>
  <c r="V34" i="18"/>
  <c r="W34" i="18"/>
  <c r="X34" i="18"/>
  <c r="Y34" i="18"/>
  <c r="Z34" i="18"/>
  <c r="AA34" i="18"/>
  <c r="AB34" i="18"/>
  <c r="AC34" i="18"/>
  <c r="S35" i="18"/>
  <c r="T35" i="18"/>
  <c r="U35" i="18"/>
  <c r="V35" i="18"/>
  <c r="W35" i="18"/>
  <c r="X35" i="18"/>
  <c r="Y35" i="18"/>
  <c r="Z35" i="18"/>
  <c r="AA35" i="18"/>
  <c r="AB35" i="18"/>
  <c r="AC35" i="18"/>
  <c r="S36" i="18"/>
  <c r="T36" i="18"/>
  <c r="U36" i="18"/>
  <c r="V36" i="18"/>
  <c r="W36" i="18"/>
  <c r="X36" i="18"/>
  <c r="Y36" i="18"/>
  <c r="Z36" i="18"/>
  <c r="AA36" i="18"/>
  <c r="AB36" i="18"/>
  <c r="AC36" i="18"/>
  <c r="S21" i="18"/>
  <c r="T21" i="18"/>
  <c r="U21" i="18"/>
  <c r="V21" i="18"/>
  <c r="W21" i="18"/>
  <c r="X21" i="18"/>
  <c r="Y21" i="18"/>
  <c r="Z21" i="18"/>
  <c r="AA21" i="18"/>
  <c r="AB21" i="18"/>
  <c r="AC21" i="18"/>
  <c r="S20" i="18"/>
  <c r="T20" i="18"/>
  <c r="U20" i="18"/>
  <c r="V20" i="18"/>
  <c r="W20" i="18"/>
  <c r="X20" i="18"/>
  <c r="Y20" i="18"/>
  <c r="Z20" i="18"/>
  <c r="AA20" i="18"/>
  <c r="AB20" i="18"/>
  <c r="AC20" i="18"/>
  <c r="T19" i="18"/>
  <c r="U19" i="18"/>
  <c r="V19" i="18"/>
  <c r="W19" i="18"/>
  <c r="X19" i="18"/>
  <c r="Y19" i="18"/>
  <c r="Z19" i="18"/>
  <c r="AA19" i="18"/>
  <c r="AB19" i="18"/>
  <c r="AC19" i="18"/>
  <c r="S18" i="18"/>
  <c r="V18" i="18"/>
  <c r="W18" i="18"/>
  <c r="X18" i="18"/>
  <c r="Y18" i="18"/>
  <c r="Z18" i="18"/>
  <c r="AA18" i="18"/>
  <c r="AB18" i="18"/>
  <c r="AC18" i="18"/>
  <c r="V17" i="18"/>
  <c r="W17" i="18"/>
  <c r="X17" i="18"/>
  <c r="Y17" i="18"/>
  <c r="Z17" i="18"/>
  <c r="AA17" i="18"/>
  <c r="AB17" i="18"/>
  <c r="AC17" i="18"/>
  <c r="S16" i="18"/>
  <c r="T16" i="18"/>
  <c r="U16" i="18"/>
  <c r="V16" i="18"/>
  <c r="W16" i="18"/>
  <c r="X16" i="18"/>
  <c r="Y16" i="18"/>
  <c r="Z16" i="18"/>
  <c r="AA16" i="18"/>
  <c r="AB16" i="18"/>
  <c r="AC16" i="18"/>
  <c r="V15" i="18"/>
  <c r="W15" i="18"/>
  <c r="X15" i="18"/>
  <c r="Y15" i="18"/>
  <c r="Z15" i="18"/>
  <c r="AA15" i="18"/>
  <c r="AB15" i="18"/>
  <c r="AC15" i="18"/>
  <c r="S11" i="18"/>
  <c r="T11" i="18"/>
  <c r="U11" i="18"/>
  <c r="V11" i="18"/>
  <c r="W11" i="18"/>
  <c r="X11" i="18"/>
  <c r="Y11" i="18"/>
  <c r="Z11" i="18"/>
  <c r="AA11" i="18"/>
  <c r="AB11" i="18"/>
  <c r="AC11" i="18"/>
  <c r="S10" i="18"/>
  <c r="T10" i="18"/>
  <c r="U10" i="18"/>
  <c r="V10" i="18"/>
  <c r="W10" i="18"/>
  <c r="X10" i="18"/>
  <c r="Y10" i="18"/>
  <c r="Z10" i="18"/>
  <c r="AA10" i="18"/>
  <c r="AB10" i="18"/>
  <c r="AC10" i="18"/>
  <c r="S9" i="18"/>
  <c r="T9" i="18"/>
  <c r="U9" i="18"/>
  <c r="V9" i="18"/>
  <c r="W9" i="18"/>
  <c r="X9" i="18"/>
  <c r="Y9" i="18"/>
  <c r="Z9" i="18"/>
  <c r="AA9" i="18"/>
  <c r="AB9" i="18"/>
  <c r="AC9" i="18"/>
  <c r="S8" i="18"/>
  <c r="T8" i="18"/>
  <c r="U8" i="18"/>
  <c r="V8" i="18"/>
  <c r="W8" i="18"/>
  <c r="X8" i="18"/>
  <c r="Y8" i="18"/>
  <c r="Z8" i="18"/>
  <c r="AA8" i="18"/>
  <c r="AB8" i="18"/>
  <c r="AC8" i="18"/>
  <c r="R36" i="18"/>
  <c r="R35" i="18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8" i="18"/>
  <c r="R16" i="18"/>
  <c r="R15" i="18"/>
  <c r="R11" i="18"/>
  <c r="R10" i="18"/>
  <c r="R9" i="18"/>
  <c r="R8" i="18"/>
  <c r="Q63" i="14"/>
  <c r="R63" i="14"/>
  <c r="R68" i="14"/>
  <c r="U18" i="18" s="1"/>
  <c r="R67" i="14"/>
  <c r="U17" i="18" s="1"/>
  <c r="R51" i="13"/>
  <c r="R53" i="13"/>
  <c r="Q9" i="14" l="1"/>
  <c r="T27" i="18" s="1"/>
  <c r="Q8" i="14"/>
  <c r="T26" i="18" s="1"/>
  <c r="P8" i="14" l="1"/>
  <c r="S26" i="18" s="1"/>
  <c r="R8" i="15"/>
  <c r="Q51" i="13" l="1"/>
  <c r="Q68" i="14"/>
  <c r="T18" i="18" s="1"/>
  <c r="Q67" i="14"/>
  <c r="T17" i="18" s="1"/>
  <c r="P62" i="14"/>
  <c r="S15" i="18" s="1"/>
  <c r="Q62" i="14"/>
  <c r="T15" i="18" s="1"/>
  <c r="P21" i="13"/>
  <c r="Q21" i="13"/>
  <c r="R21" i="13"/>
  <c r="S21" i="13"/>
  <c r="T21" i="13"/>
  <c r="O21" i="13"/>
  <c r="P63" i="14"/>
  <c r="P69" i="14" l="1"/>
  <c r="S19" i="18" s="1"/>
  <c r="P67" i="14"/>
  <c r="S17" i="18" s="1"/>
  <c r="P51" i="13"/>
  <c r="P11" i="13"/>
  <c r="AU2" i="19"/>
  <c r="AV2" i="19"/>
  <c r="AW2" i="19"/>
  <c r="AX2" i="19"/>
  <c r="AY2" i="19"/>
  <c r="AZ2" i="19"/>
  <c r="BA2" i="19"/>
  <c r="BB2" i="19"/>
  <c r="BC2" i="19"/>
  <c r="BD2" i="19"/>
  <c r="S8" i="16"/>
  <c r="T8" i="16"/>
  <c r="U8" i="16"/>
  <c r="V8" i="16"/>
  <c r="W8" i="16"/>
  <c r="X8" i="16"/>
  <c r="Y8" i="16"/>
  <c r="Z8" i="16"/>
  <c r="AA8" i="16"/>
  <c r="AB8" i="16"/>
  <c r="AC8" i="16"/>
  <c r="S9" i="16"/>
  <c r="T9" i="16"/>
  <c r="U9" i="16"/>
  <c r="V9" i="16"/>
  <c r="W9" i="16"/>
  <c r="X9" i="16"/>
  <c r="Y9" i="16"/>
  <c r="Z9" i="16"/>
  <c r="AA9" i="16"/>
  <c r="AB9" i="16"/>
  <c r="AC9" i="16"/>
  <c r="S10" i="16"/>
  <c r="T10" i="16"/>
  <c r="U10" i="16"/>
  <c r="V10" i="16"/>
  <c r="W10" i="16"/>
  <c r="X10" i="16"/>
  <c r="Y10" i="16"/>
  <c r="Z10" i="16"/>
  <c r="AA10" i="16"/>
  <c r="AB10" i="16"/>
  <c r="AC10" i="16"/>
  <c r="S11" i="16"/>
  <c r="T11" i="16"/>
  <c r="U11" i="16"/>
  <c r="V11" i="16"/>
  <c r="W11" i="16"/>
  <c r="X11" i="16"/>
  <c r="Y11" i="16"/>
  <c r="Z11" i="16"/>
  <c r="AA11" i="16"/>
  <c r="AB11" i="16"/>
  <c r="AC11" i="16"/>
  <c r="S12" i="16"/>
  <c r="S12" i="21" s="1"/>
  <c r="T12" i="16"/>
  <c r="T12" i="21" s="1"/>
  <c r="U12" i="16"/>
  <c r="U12" i="21" s="1"/>
  <c r="V12" i="16"/>
  <c r="V12" i="21" s="1"/>
  <c r="W12" i="16"/>
  <c r="W12" i="21" s="1"/>
  <c r="X12" i="16"/>
  <c r="X12" i="21" s="1"/>
  <c r="Y12" i="16"/>
  <c r="Y12" i="21" s="1"/>
  <c r="Z12" i="16"/>
  <c r="Z12" i="21" s="1"/>
  <c r="AA12" i="16"/>
  <c r="AA12" i="21" s="1"/>
  <c r="AB12" i="16"/>
  <c r="AB12" i="21" s="1"/>
  <c r="AC12" i="16"/>
  <c r="AC12" i="21" s="1"/>
  <c r="S13" i="16"/>
  <c r="S13" i="21" s="1"/>
  <c r="T13" i="16"/>
  <c r="T13" i="21" s="1"/>
  <c r="U13" i="16"/>
  <c r="U13" i="21" s="1"/>
  <c r="V13" i="16"/>
  <c r="V13" i="21" s="1"/>
  <c r="W13" i="16"/>
  <c r="W13" i="21" s="1"/>
  <c r="X13" i="16"/>
  <c r="X13" i="21" s="1"/>
  <c r="Y13" i="16"/>
  <c r="Y13" i="21" s="1"/>
  <c r="Z13" i="16"/>
  <c r="Z13" i="21" s="1"/>
  <c r="AA13" i="16"/>
  <c r="AA13" i="21" s="1"/>
  <c r="AB13" i="16"/>
  <c r="AB13" i="21" s="1"/>
  <c r="AC13" i="16"/>
  <c r="AC13" i="21" s="1"/>
  <c r="S15" i="16"/>
  <c r="S15" i="21" s="1"/>
  <c r="T15" i="16"/>
  <c r="T15" i="21" s="1"/>
  <c r="U15" i="16"/>
  <c r="U15" i="21" s="1"/>
  <c r="V15" i="16"/>
  <c r="V15" i="21" s="1"/>
  <c r="W15" i="16"/>
  <c r="W15" i="21" s="1"/>
  <c r="X15" i="16"/>
  <c r="X15" i="21" s="1"/>
  <c r="Y15" i="16"/>
  <c r="Y15" i="21" s="1"/>
  <c r="Z15" i="16"/>
  <c r="Z15" i="21" s="1"/>
  <c r="AA15" i="16"/>
  <c r="AA15" i="21" s="1"/>
  <c r="AB15" i="16"/>
  <c r="AB15" i="21" s="1"/>
  <c r="AC15" i="16"/>
  <c r="AC15" i="21" s="1"/>
  <c r="S16" i="16"/>
  <c r="T16" i="16"/>
  <c r="U16" i="16"/>
  <c r="V16" i="16"/>
  <c r="W16" i="16"/>
  <c r="X16" i="16"/>
  <c r="Y16" i="16"/>
  <c r="Z16" i="16"/>
  <c r="AA16" i="16"/>
  <c r="AB16" i="16"/>
  <c r="AC16" i="16"/>
  <c r="S17" i="16"/>
  <c r="T17" i="16"/>
  <c r="U17" i="16"/>
  <c r="V17" i="16"/>
  <c r="W17" i="16"/>
  <c r="X17" i="16"/>
  <c r="Y17" i="16"/>
  <c r="Z17" i="16"/>
  <c r="AA17" i="16"/>
  <c r="AB17" i="16"/>
  <c r="AC17" i="16"/>
  <c r="S18" i="16"/>
  <c r="T18" i="16"/>
  <c r="U18" i="16"/>
  <c r="V18" i="16"/>
  <c r="W18" i="16"/>
  <c r="X18" i="16"/>
  <c r="Y18" i="16"/>
  <c r="Z18" i="16"/>
  <c r="AA18" i="16"/>
  <c r="AB18" i="16"/>
  <c r="AC18" i="16"/>
  <c r="S19" i="16"/>
  <c r="T19" i="16"/>
  <c r="U19" i="16"/>
  <c r="V19" i="16"/>
  <c r="W19" i="16"/>
  <c r="X19" i="16"/>
  <c r="Y19" i="16"/>
  <c r="Z19" i="16"/>
  <c r="AA19" i="16"/>
  <c r="AB19" i="16"/>
  <c r="AC19" i="16"/>
  <c r="S20" i="16"/>
  <c r="T20" i="16"/>
  <c r="U20" i="16"/>
  <c r="V20" i="16"/>
  <c r="W20" i="16"/>
  <c r="X20" i="16"/>
  <c r="Y20" i="16"/>
  <c r="Z20" i="16"/>
  <c r="AA20" i="16"/>
  <c r="AB20" i="16"/>
  <c r="AC20" i="16"/>
  <c r="S21" i="16"/>
  <c r="T21" i="16"/>
  <c r="U21" i="16"/>
  <c r="V21" i="16"/>
  <c r="W21" i="16"/>
  <c r="X21" i="16"/>
  <c r="Y21" i="16"/>
  <c r="Z21" i="16"/>
  <c r="AA21" i="16"/>
  <c r="AB21" i="16"/>
  <c r="AC21" i="16"/>
  <c r="S22" i="16"/>
  <c r="T22" i="16"/>
  <c r="U22" i="16"/>
  <c r="V22" i="16"/>
  <c r="W22" i="16"/>
  <c r="X22" i="16"/>
  <c r="Y22" i="16"/>
  <c r="Z22" i="16"/>
  <c r="AA22" i="16"/>
  <c r="AB22" i="16"/>
  <c r="AC22" i="16"/>
  <c r="S23" i="16"/>
  <c r="T23" i="16"/>
  <c r="U23" i="16"/>
  <c r="V23" i="16"/>
  <c r="W23" i="16"/>
  <c r="X23" i="16"/>
  <c r="Y23" i="16"/>
  <c r="Z23" i="16"/>
  <c r="AA23" i="16"/>
  <c r="AB23" i="16"/>
  <c r="AC23" i="16"/>
  <c r="S24" i="16"/>
  <c r="T24" i="16"/>
  <c r="U24" i="16"/>
  <c r="V24" i="16"/>
  <c r="W24" i="16"/>
  <c r="X24" i="16"/>
  <c r="Y24" i="16"/>
  <c r="Z24" i="16"/>
  <c r="AA24" i="16"/>
  <c r="AB24" i="16"/>
  <c r="AC24" i="16"/>
  <c r="S25" i="16"/>
  <c r="T25" i="16"/>
  <c r="U25" i="16"/>
  <c r="V25" i="16"/>
  <c r="W25" i="16"/>
  <c r="X25" i="16"/>
  <c r="Y25" i="16"/>
  <c r="Z25" i="16"/>
  <c r="AA25" i="16"/>
  <c r="AB25" i="16"/>
  <c r="AC25" i="16"/>
  <c r="S26" i="16"/>
  <c r="T26" i="16"/>
  <c r="U26" i="16"/>
  <c r="V26" i="16"/>
  <c r="W26" i="16"/>
  <c r="X26" i="16"/>
  <c r="Y26" i="16"/>
  <c r="Z26" i="16"/>
  <c r="AA26" i="16"/>
  <c r="AB26" i="16"/>
  <c r="AC26" i="16"/>
  <c r="S27" i="16"/>
  <c r="T27" i="16"/>
  <c r="U27" i="16"/>
  <c r="V27" i="16"/>
  <c r="W27" i="16"/>
  <c r="X27" i="16"/>
  <c r="Y27" i="16"/>
  <c r="Z27" i="16"/>
  <c r="AA27" i="16"/>
  <c r="AB27" i="16"/>
  <c r="AC27" i="16"/>
  <c r="S28" i="16"/>
  <c r="T28" i="16"/>
  <c r="U28" i="16"/>
  <c r="V28" i="16"/>
  <c r="W28" i="16"/>
  <c r="X28" i="16"/>
  <c r="Y28" i="16"/>
  <c r="Z28" i="16"/>
  <c r="AA28" i="16"/>
  <c r="AB28" i="16"/>
  <c r="AC28" i="16"/>
  <c r="S29" i="16"/>
  <c r="T29" i="16"/>
  <c r="U29" i="16"/>
  <c r="V29" i="16"/>
  <c r="W29" i="16"/>
  <c r="X29" i="16"/>
  <c r="Y29" i="16"/>
  <c r="Z29" i="16"/>
  <c r="AA29" i="16"/>
  <c r="AB29" i="16"/>
  <c r="AC29" i="16"/>
  <c r="S30" i="16"/>
  <c r="T30" i="16"/>
  <c r="U30" i="16"/>
  <c r="V30" i="16"/>
  <c r="W30" i="16"/>
  <c r="X30" i="16"/>
  <c r="Y30" i="16"/>
  <c r="Z30" i="16"/>
  <c r="AA30" i="16"/>
  <c r="AB30" i="16"/>
  <c r="AC30" i="16"/>
  <c r="S31" i="16"/>
  <c r="T31" i="16"/>
  <c r="U31" i="16"/>
  <c r="V31" i="16"/>
  <c r="W31" i="16"/>
  <c r="X31" i="16"/>
  <c r="Y31" i="16"/>
  <c r="Z31" i="16"/>
  <c r="AA31" i="16"/>
  <c r="AB31" i="16"/>
  <c r="AC31" i="16"/>
  <c r="S32" i="16"/>
  <c r="T32" i="16"/>
  <c r="U32" i="16"/>
  <c r="V32" i="16"/>
  <c r="W32" i="16"/>
  <c r="X32" i="16"/>
  <c r="Y32" i="16"/>
  <c r="Z32" i="16"/>
  <c r="AA32" i="16"/>
  <c r="AB32" i="16"/>
  <c r="AC32" i="16"/>
  <c r="S33" i="16"/>
  <c r="T33" i="16"/>
  <c r="U33" i="16"/>
  <c r="V33" i="16"/>
  <c r="W33" i="16"/>
  <c r="X33" i="16"/>
  <c r="Y33" i="16"/>
  <c r="Z33" i="16"/>
  <c r="AA33" i="16"/>
  <c r="AB33" i="16"/>
  <c r="AC33" i="16"/>
  <c r="S34" i="16"/>
  <c r="T34" i="16"/>
  <c r="U34" i="16"/>
  <c r="V34" i="16"/>
  <c r="W34" i="16"/>
  <c r="X34" i="16"/>
  <c r="Y34" i="16"/>
  <c r="Z34" i="16"/>
  <c r="AA34" i="16"/>
  <c r="AB34" i="16"/>
  <c r="AC34" i="16"/>
  <c r="S35" i="16"/>
  <c r="T35" i="16"/>
  <c r="U35" i="16"/>
  <c r="V35" i="16"/>
  <c r="W35" i="16"/>
  <c r="X35" i="16"/>
  <c r="Y35" i="16"/>
  <c r="Z35" i="16"/>
  <c r="AA35" i="16"/>
  <c r="AB35" i="16"/>
  <c r="AC35" i="16"/>
  <c r="S36" i="16"/>
  <c r="T36" i="16"/>
  <c r="U36" i="16"/>
  <c r="V36" i="16"/>
  <c r="W36" i="16"/>
  <c r="X36" i="16"/>
  <c r="Y36" i="16"/>
  <c r="Z36" i="16"/>
  <c r="AA36" i="16"/>
  <c r="AB36" i="16"/>
  <c r="AC36" i="16"/>
  <c r="S37" i="16"/>
  <c r="T37" i="16"/>
  <c r="U37" i="16"/>
  <c r="V37" i="16"/>
  <c r="W37" i="16"/>
  <c r="X37" i="16"/>
  <c r="Y37" i="16"/>
  <c r="Z37" i="16"/>
  <c r="AA37" i="16"/>
  <c r="AB37" i="16"/>
  <c r="AC37" i="16"/>
  <c r="R10" i="16"/>
  <c r="R9" i="16"/>
  <c r="R8" i="16"/>
  <c r="R8" i="21" s="1"/>
  <c r="R37" i="16"/>
  <c r="R36" i="16"/>
  <c r="R35" i="16"/>
  <c r="R34" i="16"/>
  <c r="R33" i="16"/>
  <c r="R32" i="16"/>
  <c r="R31" i="16"/>
  <c r="R30" i="16"/>
  <c r="R29" i="16"/>
  <c r="R28" i="16"/>
  <c r="R27" i="16"/>
  <c r="R26" i="16"/>
  <c r="R25" i="16"/>
  <c r="R24" i="16"/>
  <c r="R23" i="16"/>
  <c r="R22" i="16"/>
  <c r="R21" i="16"/>
  <c r="R19" i="16"/>
  <c r="O63" i="14"/>
  <c r="R17" i="16"/>
  <c r="R16" i="16"/>
  <c r="R15" i="16"/>
  <c r="R15" i="21" s="1"/>
  <c r="R13" i="16"/>
  <c r="R12" i="16"/>
  <c r="R11" i="16"/>
  <c r="O69" i="14" l="1"/>
  <c r="O67" i="14"/>
  <c r="O53" i="13"/>
  <c r="O51" i="13"/>
  <c r="R17" i="18" l="1"/>
  <c r="R18" i="16"/>
  <c r="R19" i="18"/>
  <c r="R20" i="16"/>
  <c r="L21" i="17"/>
  <c r="I22" i="17"/>
  <c r="I21" i="17"/>
  <c r="U15" i="17"/>
  <c r="V15" i="17"/>
  <c r="W15" i="17"/>
  <c r="X15" i="17"/>
  <c r="Y15" i="17"/>
  <c r="Z15" i="17"/>
  <c r="AA15" i="17"/>
  <c r="AB15" i="17"/>
  <c r="AC15" i="17"/>
  <c r="T15" i="17"/>
  <c r="S15" i="17"/>
  <c r="R15" i="17"/>
  <c r="K15" i="17" l="1"/>
  <c r="L15" i="17"/>
  <c r="M15" i="17"/>
  <c r="N15" i="17"/>
  <c r="O15" i="17"/>
  <c r="P15" i="17"/>
  <c r="J15" i="17"/>
  <c r="I15" i="17"/>
  <c r="H15" i="17"/>
  <c r="F14" i="18" l="1"/>
  <c r="G14" i="18"/>
  <c r="H14" i="18"/>
  <c r="I14" i="18"/>
  <c r="J14" i="18"/>
  <c r="K14" i="18"/>
  <c r="L14" i="18"/>
  <c r="M14" i="18"/>
  <c r="N14" i="18"/>
  <c r="O14" i="18"/>
  <c r="P14" i="18"/>
  <c r="E14" i="18"/>
  <c r="F13" i="18"/>
  <c r="G13" i="18"/>
  <c r="H13" i="18"/>
  <c r="I13" i="18"/>
  <c r="J13" i="18"/>
  <c r="K13" i="18"/>
  <c r="L13" i="18"/>
  <c r="M13" i="18"/>
  <c r="N13" i="18"/>
  <c r="O13" i="18"/>
  <c r="P13" i="18"/>
  <c r="E13" i="18"/>
  <c r="F12" i="18"/>
  <c r="G12" i="18"/>
  <c r="H12" i="18"/>
  <c r="I12" i="18"/>
  <c r="J12" i="18"/>
  <c r="K12" i="18"/>
  <c r="L12" i="18"/>
  <c r="M12" i="18"/>
  <c r="N12" i="18"/>
  <c r="O12" i="18"/>
  <c r="P12" i="18"/>
  <c r="E12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P17" i="18"/>
  <c r="E17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P9" i="18"/>
  <c r="O9" i="18"/>
  <c r="N9" i="18"/>
  <c r="M9" i="18"/>
  <c r="L9" i="18"/>
  <c r="K9" i="18"/>
  <c r="J9" i="18"/>
  <c r="I9" i="18"/>
  <c r="H9" i="18"/>
  <c r="G9" i="18"/>
  <c r="F9" i="18"/>
  <c r="E9" i="18"/>
  <c r="P8" i="18"/>
  <c r="O8" i="18"/>
  <c r="N8" i="18"/>
  <c r="M8" i="18"/>
  <c r="L8" i="18"/>
  <c r="K8" i="18"/>
  <c r="J8" i="18"/>
  <c r="I8" i="18"/>
  <c r="H8" i="18"/>
  <c r="G8" i="18"/>
  <c r="P37" i="16"/>
  <c r="P36" i="16"/>
  <c r="P35" i="16"/>
  <c r="Q11" i="18" l="1"/>
  <c r="Q16" i="18"/>
  <c r="Q15" i="18"/>
  <c r="Q27" i="18"/>
  <c r="Q19" i="18"/>
  <c r="AD19" i="18"/>
  <c r="Q33" i="18"/>
  <c r="Q25" i="18"/>
  <c r="Q26" i="18"/>
  <c r="Q28" i="18"/>
  <c r="Q29" i="18"/>
  <c r="Q30" i="18"/>
  <c r="Q35" i="18"/>
  <c r="Q34" i="18"/>
  <c r="AD34" i="18"/>
  <c r="AD35" i="18"/>
  <c r="Q36" i="18"/>
  <c r="Q20" i="18"/>
  <c r="Q21" i="18"/>
  <c r="Q22" i="18"/>
  <c r="Q23" i="18"/>
  <c r="Q24" i="18"/>
  <c r="Q32" i="18"/>
  <c r="Q31" i="18"/>
  <c r="AD8" i="18"/>
  <c r="Q9" i="18"/>
  <c r="AD9" i="18"/>
  <c r="Q10" i="18"/>
  <c r="AD10" i="18"/>
  <c r="Q13" i="18"/>
  <c r="Q14" i="18"/>
  <c r="Q12" i="18"/>
  <c r="Q18" i="18"/>
  <c r="T9" i="15" l="1"/>
  <c r="S9" i="17"/>
  <c r="AD15" i="17"/>
  <c r="Q21" i="17"/>
  <c r="Q15" i="17"/>
  <c r="R40" i="15"/>
  <c r="R39" i="15"/>
  <c r="R38" i="15"/>
  <c r="R37" i="15"/>
  <c r="R36" i="15"/>
  <c r="R35" i="15"/>
  <c r="R34" i="15"/>
  <c r="R33" i="15"/>
  <c r="R32" i="15"/>
  <c r="R31" i="15"/>
  <c r="R30" i="15"/>
  <c r="R29" i="15"/>
  <c r="R28" i="15"/>
  <c r="R28" i="21" s="1"/>
  <c r="R27" i="15"/>
  <c r="R27" i="21" s="1"/>
  <c r="R26" i="15"/>
  <c r="R26" i="21" s="1"/>
  <c r="R25" i="15"/>
  <c r="R24" i="15"/>
  <c r="R23" i="15"/>
  <c r="R22" i="15"/>
  <c r="R22" i="21" s="1"/>
  <c r="R21" i="15"/>
  <c r="R21" i="21" s="1"/>
  <c r="R20" i="15"/>
  <c r="R19" i="15"/>
  <c r="R18" i="15"/>
  <c r="R17" i="15"/>
  <c r="R16" i="15"/>
  <c r="R13" i="15"/>
  <c r="R12" i="15"/>
  <c r="R11" i="15"/>
  <c r="R10" i="15"/>
  <c r="R9" i="15"/>
  <c r="O39" i="14"/>
  <c r="P39" i="14"/>
  <c r="Q39" i="14"/>
  <c r="R39" i="14"/>
  <c r="S39" i="14"/>
  <c r="T39" i="14"/>
  <c r="U39" i="14"/>
  <c r="V39" i="14"/>
  <c r="W39" i="14"/>
  <c r="X39" i="14"/>
  <c r="Y39" i="14"/>
  <c r="Z39" i="14"/>
  <c r="AA70" i="14"/>
  <c r="AA69" i="14"/>
  <c r="AA68" i="14"/>
  <c r="Y66" i="14"/>
  <c r="X66" i="14"/>
  <c r="Q66" i="14"/>
  <c r="P66" i="14"/>
  <c r="Z66" i="14"/>
  <c r="U66" i="14"/>
  <c r="T66" i="14"/>
  <c r="S66" i="14"/>
  <c r="R66" i="14"/>
  <c r="O66" i="14"/>
  <c r="AA65" i="14"/>
  <c r="AD21" i="18" s="1"/>
  <c r="AA64" i="14"/>
  <c r="AA63" i="14"/>
  <c r="AA62" i="14"/>
  <c r="AD15" i="18" s="1"/>
  <c r="AA61" i="14"/>
  <c r="AA60" i="14"/>
  <c r="AA59" i="14"/>
  <c r="Z58" i="14"/>
  <c r="AC39" i="18" s="1"/>
  <c r="Y58" i="14"/>
  <c r="AB39" i="18" s="1"/>
  <c r="X58" i="14"/>
  <c r="AA39" i="18" s="1"/>
  <c r="W58" i="14"/>
  <c r="Z39" i="18" s="1"/>
  <c r="V58" i="14"/>
  <c r="Y39" i="18" s="1"/>
  <c r="U58" i="14"/>
  <c r="X39" i="18" s="1"/>
  <c r="T58" i="14"/>
  <c r="W39" i="18" s="1"/>
  <c r="S58" i="14"/>
  <c r="V39" i="18" s="1"/>
  <c r="R58" i="14"/>
  <c r="U39" i="18" s="1"/>
  <c r="Q58" i="14"/>
  <c r="T39" i="18" s="1"/>
  <c r="P58" i="14"/>
  <c r="S39" i="18" s="1"/>
  <c r="O58" i="14"/>
  <c r="AA57" i="14"/>
  <c r="AA56" i="14"/>
  <c r="AA55" i="14"/>
  <c r="Z54" i="14"/>
  <c r="AC38" i="18" s="1"/>
  <c r="Y54" i="14"/>
  <c r="AB38" i="18" s="1"/>
  <c r="X54" i="14"/>
  <c r="AA38" i="18" s="1"/>
  <c r="W54" i="14"/>
  <c r="Z38" i="18" s="1"/>
  <c r="V54" i="14"/>
  <c r="Y38" i="18" s="1"/>
  <c r="U54" i="14"/>
  <c r="X38" i="18" s="1"/>
  <c r="T54" i="14"/>
  <c r="W38" i="18" s="1"/>
  <c r="S54" i="14"/>
  <c r="V38" i="18" s="1"/>
  <c r="R54" i="14"/>
  <c r="U38" i="18" s="1"/>
  <c r="Q54" i="14"/>
  <c r="T38" i="18" s="1"/>
  <c r="P54" i="14"/>
  <c r="S38" i="18" s="1"/>
  <c r="O54" i="14"/>
  <c r="AA53" i="14"/>
  <c r="AA52" i="14"/>
  <c r="AA51" i="14"/>
  <c r="AA50" i="14"/>
  <c r="AA49" i="14"/>
  <c r="AA48" i="14"/>
  <c r="AA47" i="14"/>
  <c r="AA46" i="14"/>
  <c r="AA45" i="14"/>
  <c r="Z44" i="14"/>
  <c r="AC37" i="18" s="1"/>
  <c r="Y44" i="14"/>
  <c r="AB37" i="18" s="1"/>
  <c r="X44" i="14"/>
  <c r="AA37" i="18" s="1"/>
  <c r="W44" i="14"/>
  <c r="Z37" i="18" s="1"/>
  <c r="V44" i="14"/>
  <c r="Y37" i="18" s="1"/>
  <c r="U44" i="14"/>
  <c r="X37" i="18" s="1"/>
  <c r="T44" i="14"/>
  <c r="W37" i="18" s="1"/>
  <c r="S44" i="14"/>
  <c r="V37" i="18" s="1"/>
  <c r="R44" i="14"/>
  <c r="U37" i="18" s="1"/>
  <c r="Q44" i="14"/>
  <c r="T37" i="18" s="1"/>
  <c r="P44" i="14"/>
  <c r="S37" i="18" s="1"/>
  <c r="O44" i="14"/>
  <c r="AA42" i="14"/>
  <c r="AA41" i="14"/>
  <c r="AA40" i="14"/>
  <c r="AA38" i="14"/>
  <c r="AA37" i="14"/>
  <c r="AA36" i="14"/>
  <c r="AA35" i="14"/>
  <c r="AA34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AA32" i="14"/>
  <c r="AA31" i="14"/>
  <c r="AA30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AA28" i="14"/>
  <c r="AA27" i="14"/>
  <c r="AA24" i="14"/>
  <c r="AA23" i="14"/>
  <c r="AA22" i="14"/>
  <c r="AA21" i="14"/>
  <c r="Z20" i="14"/>
  <c r="Y20" i="14"/>
  <c r="X20" i="14"/>
  <c r="W20" i="14"/>
  <c r="V20" i="14"/>
  <c r="T20" i="14"/>
  <c r="S20" i="14"/>
  <c r="R20" i="14"/>
  <c r="Q20" i="14"/>
  <c r="P20" i="14"/>
  <c r="O20" i="14"/>
  <c r="AA19" i="14"/>
  <c r="AA18" i="14"/>
  <c r="AA17" i="14"/>
  <c r="Z16" i="14"/>
  <c r="Y16" i="14"/>
  <c r="X16" i="14"/>
  <c r="W16" i="14"/>
  <c r="V16" i="14"/>
  <c r="U16" i="14"/>
  <c r="T16" i="14"/>
  <c r="R16" i="14"/>
  <c r="Q16" i="14"/>
  <c r="P16" i="14"/>
  <c r="O16" i="14"/>
  <c r="AA15" i="14"/>
  <c r="AD33" i="18" s="1"/>
  <c r="AA14" i="14"/>
  <c r="AA13" i="14"/>
  <c r="AA12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AA10" i="14"/>
  <c r="AD11" i="18" s="1"/>
  <c r="AA9" i="14"/>
  <c r="AA8" i="14"/>
  <c r="AA6" i="14"/>
  <c r="AD25" i="18" s="1"/>
  <c r="Z5" i="14"/>
  <c r="Y5" i="14"/>
  <c r="X5" i="14"/>
  <c r="W5" i="14"/>
  <c r="V5" i="14"/>
  <c r="U5" i="14"/>
  <c r="T5" i="14"/>
  <c r="R5" i="14"/>
  <c r="Q5" i="14"/>
  <c r="P5" i="14"/>
  <c r="O5" i="14"/>
  <c r="AA54" i="13"/>
  <c r="AA53" i="13"/>
  <c r="AA51" i="13"/>
  <c r="Z50" i="13"/>
  <c r="Y50" i="13"/>
  <c r="X50" i="13"/>
  <c r="W50" i="13"/>
  <c r="V50" i="13"/>
  <c r="T50" i="13"/>
  <c r="S50" i="13"/>
  <c r="R50" i="13"/>
  <c r="Q50" i="13"/>
  <c r="P50" i="13"/>
  <c r="O50" i="13"/>
  <c r="AA49" i="13"/>
  <c r="AA48" i="13"/>
  <c r="Z47" i="13"/>
  <c r="Y47" i="13"/>
  <c r="X47" i="13"/>
  <c r="W47" i="13"/>
  <c r="V47" i="13"/>
  <c r="U47" i="13"/>
  <c r="T47" i="13"/>
  <c r="S47" i="13"/>
  <c r="R47" i="13"/>
  <c r="Q47" i="13"/>
  <c r="P47" i="13"/>
  <c r="O47" i="13"/>
  <c r="AA46" i="13"/>
  <c r="AA45" i="13"/>
  <c r="AA44" i="13"/>
  <c r="AA43" i="13"/>
  <c r="AA42" i="13"/>
  <c r="Z41" i="13"/>
  <c r="Y41" i="13"/>
  <c r="X41" i="13"/>
  <c r="W41" i="13"/>
  <c r="V41" i="13"/>
  <c r="U41" i="13"/>
  <c r="T41" i="13"/>
  <c r="S41" i="13"/>
  <c r="R41" i="13"/>
  <c r="Q41" i="13"/>
  <c r="O41" i="13"/>
  <c r="AA40" i="13"/>
  <c r="AA39" i="13"/>
  <c r="AA38" i="13"/>
  <c r="AA37" i="13"/>
  <c r="Z36" i="13"/>
  <c r="Y36" i="13"/>
  <c r="X36" i="13"/>
  <c r="U36" i="13"/>
  <c r="T36" i="13"/>
  <c r="S36" i="13"/>
  <c r="R36" i="13"/>
  <c r="Q36" i="13"/>
  <c r="P36" i="13"/>
  <c r="O36" i="13"/>
  <c r="AA35" i="13"/>
  <c r="AA34" i="13"/>
  <c r="AA33" i="13"/>
  <c r="AA32" i="13"/>
  <c r="AA31" i="13"/>
  <c r="W30" i="13"/>
  <c r="V30" i="13"/>
  <c r="T30" i="13"/>
  <c r="S30" i="13"/>
  <c r="R30" i="13"/>
  <c r="Q30" i="13"/>
  <c r="P30" i="13"/>
  <c r="O30" i="13"/>
  <c r="AA29" i="13"/>
  <c r="AA28" i="13"/>
  <c r="AA27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AA25" i="13"/>
  <c r="AA23" i="13"/>
  <c r="AA22" i="13"/>
  <c r="U31" i="15"/>
  <c r="AA20" i="13"/>
  <c r="Q16" i="13"/>
  <c r="AA19" i="13"/>
  <c r="AA18" i="13"/>
  <c r="U16" i="13"/>
  <c r="U29" i="15"/>
  <c r="T29" i="15"/>
  <c r="P16" i="13"/>
  <c r="AA17" i="13"/>
  <c r="Z16" i="13"/>
  <c r="Y16" i="13"/>
  <c r="X16" i="13"/>
  <c r="W16" i="13"/>
  <c r="V16" i="13"/>
  <c r="T16" i="13"/>
  <c r="O16" i="13"/>
  <c r="AA15" i="13"/>
  <c r="AA14" i="13"/>
  <c r="AA13" i="13"/>
  <c r="AA12" i="13"/>
  <c r="Z11" i="13"/>
  <c r="Y11" i="13"/>
  <c r="X11" i="13"/>
  <c r="W11" i="13"/>
  <c r="V11" i="13"/>
  <c r="U11" i="13"/>
  <c r="T11" i="13"/>
  <c r="S11" i="13"/>
  <c r="R11" i="13"/>
  <c r="Q11" i="13"/>
  <c r="O11" i="13"/>
  <c r="AA10" i="13"/>
  <c r="AA9" i="13"/>
  <c r="AA8" i="13"/>
  <c r="AA7" i="13"/>
  <c r="AA6" i="13"/>
  <c r="Z5" i="13"/>
  <c r="Y5" i="13"/>
  <c r="X5" i="13"/>
  <c r="W5" i="13"/>
  <c r="V5" i="13"/>
  <c r="U5" i="13"/>
  <c r="T5" i="13"/>
  <c r="S5" i="13"/>
  <c r="R5" i="13"/>
  <c r="Q5" i="13"/>
  <c r="P5" i="13"/>
  <c r="O5" i="13"/>
  <c r="Y30" i="15"/>
  <c r="U30" i="15"/>
  <c r="Y29" i="15"/>
  <c r="N6" i="14"/>
  <c r="N8" i="14"/>
  <c r="N9" i="14"/>
  <c r="N10" i="14"/>
  <c r="N12" i="14"/>
  <c r="N13" i="14"/>
  <c r="N14" i="14"/>
  <c r="N15" i="14"/>
  <c r="N17" i="14"/>
  <c r="N18" i="14"/>
  <c r="N19" i="14"/>
  <c r="N21" i="14"/>
  <c r="N22" i="14"/>
  <c r="N23" i="14"/>
  <c r="N24" i="14"/>
  <c r="N27" i="14"/>
  <c r="N28" i="14"/>
  <c r="N30" i="14"/>
  <c r="N31" i="14"/>
  <c r="N32" i="14"/>
  <c r="N34" i="14"/>
  <c r="N35" i="14"/>
  <c r="N36" i="14"/>
  <c r="N37" i="14"/>
  <c r="N38" i="14"/>
  <c r="N41" i="14"/>
  <c r="N42" i="14"/>
  <c r="N45" i="14"/>
  <c r="N46" i="14"/>
  <c r="N47" i="14"/>
  <c r="N48" i="14"/>
  <c r="N49" i="14"/>
  <c r="N50" i="14"/>
  <c r="N51" i="14"/>
  <c r="N52" i="14"/>
  <c r="N53" i="14"/>
  <c r="N55" i="14"/>
  <c r="N56" i="14"/>
  <c r="N57" i="14"/>
  <c r="N59" i="14"/>
  <c r="N60" i="14"/>
  <c r="N61" i="14"/>
  <c r="N62" i="14"/>
  <c r="N64" i="14"/>
  <c r="N65" i="14"/>
  <c r="N68" i="14"/>
  <c r="N69" i="14"/>
  <c r="N70" i="14"/>
  <c r="AD15" i="15"/>
  <c r="N53" i="13"/>
  <c r="N52" i="13"/>
  <c r="N51" i="13"/>
  <c r="N49" i="13"/>
  <c r="N48" i="13"/>
  <c r="N44" i="13"/>
  <c r="N43" i="13"/>
  <c r="N42" i="13"/>
  <c r="N40" i="13"/>
  <c r="N39" i="13"/>
  <c r="N38" i="13"/>
  <c r="N37" i="13"/>
  <c r="N35" i="13"/>
  <c r="N34" i="13"/>
  <c r="N33" i="13"/>
  <c r="N32" i="13"/>
  <c r="N31" i="13"/>
  <c r="N29" i="13"/>
  <c r="N28" i="13"/>
  <c r="N27" i="13"/>
  <c r="N25" i="13"/>
  <c r="N23" i="13"/>
  <c r="N22" i="13"/>
  <c r="N15" i="13"/>
  <c r="N14" i="13"/>
  <c r="N13" i="13"/>
  <c r="N12" i="13"/>
  <c r="N9" i="13"/>
  <c r="N8" i="13"/>
  <c r="N7" i="13"/>
  <c r="N6" i="13"/>
  <c r="AC8" i="15"/>
  <c r="AB8" i="15"/>
  <c r="AA8" i="15"/>
  <c r="Z8" i="15"/>
  <c r="Y8" i="15"/>
  <c r="X8" i="15"/>
  <c r="W8" i="15"/>
  <c r="V8" i="15"/>
  <c r="U8" i="15"/>
  <c r="T8" i="15"/>
  <c r="S8" i="15"/>
  <c r="AC40" i="15"/>
  <c r="AE40" i="17" s="1"/>
  <c r="AQ40" i="17" s="1"/>
  <c r="AB40" i="15"/>
  <c r="AA40" i="15"/>
  <c r="Z40" i="15"/>
  <c r="Y40" i="15"/>
  <c r="X40" i="15"/>
  <c r="W40" i="15"/>
  <c r="V40" i="15"/>
  <c r="U40" i="15"/>
  <c r="T40" i="15"/>
  <c r="S40" i="15"/>
  <c r="AC39" i="15"/>
  <c r="AE39" i="17" s="1"/>
  <c r="AQ39" i="17" s="1"/>
  <c r="AB39" i="15"/>
  <c r="AA39" i="15"/>
  <c r="Z39" i="15"/>
  <c r="Y39" i="15"/>
  <c r="X39" i="15"/>
  <c r="W39" i="15"/>
  <c r="V39" i="15"/>
  <c r="U39" i="15"/>
  <c r="T39" i="15"/>
  <c r="S39" i="15"/>
  <c r="AC38" i="15"/>
  <c r="AF38" i="17" s="1"/>
  <c r="AB38" i="15"/>
  <c r="AE38" i="17" s="1"/>
  <c r="AA38" i="15"/>
  <c r="Z38" i="15"/>
  <c r="Y38" i="15"/>
  <c r="X38" i="15"/>
  <c r="W38" i="15"/>
  <c r="V38" i="15"/>
  <c r="W38" i="17"/>
  <c r="T38" i="15"/>
  <c r="S38" i="15"/>
  <c r="AC37" i="15"/>
  <c r="AB37" i="15"/>
  <c r="AA37" i="15"/>
  <c r="Z37" i="15"/>
  <c r="Y37" i="15"/>
  <c r="X37" i="15"/>
  <c r="W37" i="15"/>
  <c r="V37" i="15"/>
  <c r="U37" i="15"/>
  <c r="T37" i="15"/>
  <c r="T37" i="21" s="1"/>
  <c r="S37" i="15"/>
  <c r="AC36" i="15"/>
  <c r="AB36" i="15"/>
  <c r="AA36" i="15"/>
  <c r="Z36" i="15"/>
  <c r="Y36" i="15"/>
  <c r="X36" i="15"/>
  <c r="W36" i="15"/>
  <c r="V36" i="15"/>
  <c r="U36" i="15"/>
  <c r="T36" i="15"/>
  <c r="S36" i="15"/>
  <c r="AC35" i="15"/>
  <c r="AB35" i="15"/>
  <c r="AA35" i="15"/>
  <c r="Z35" i="15"/>
  <c r="Y35" i="15"/>
  <c r="X35" i="15"/>
  <c r="W35" i="15"/>
  <c r="V35" i="15"/>
  <c r="U35" i="15"/>
  <c r="T35" i="15"/>
  <c r="S35" i="15"/>
  <c r="S35" i="21" s="1"/>
  <c r="AC34" i="15"/>
  <c r="AB34" i="15"/>
  <c r="AA34" i="15"/>
  <c r="Z34" i="15"/>
  <c r="Y34" i="15"/>
  <c r="X34" i="15"/>
  <c r="W34" i="15"/>
  <c r="V34" i="15"/>
  <c r="U34" i="15"/>
  <c r="T34" i="15"/>
  <c r="S34" i="15"/>
  <c r="AC33" i="15"/>
  <c r="AB33" i="15"/>
  <c r="AA33" i="15"/>
  <c r="Z33" i="15"/>
  <c r="Y33" i="15"/>
  <c r="X33" i="15"/>
  <c r="W33" i="15"/>
  <c r="V33" i="15"/>
  <c r="U33" i="15"/>
  <c r="T33" i="15"/>
  <c r="S33" i="15"/>
  <c r="AC32" i="15"/>
  <c r="AB32" i="15"/>
  <c r="AA32" i="15"/>
  <c r="Z32" i="15"/>
  <c r="Y32" i="15"/>
  <c r="X32" i="15"/>
  <c r="W32" i="15"/>
  <c r="V32" i="15"/>
  <c r="U32" i="15"/>
  <c r="T32" i="15"/>
  <c r="S32" i="15"/>
  <c r="AC31" i="15"/>
  <c r="AB31" i="15"/>
  <c r="AA31" i="15"/>
  <c r="Z31" i="15"/>
  <c r="Y31" i="15"/>
  <c r="X31" i="15"/>
  <c r="W31" i="15"/>
  <c r="V31" i="15"/>
  <c r="T31" i="15"/>
  <c r="AC30" i="15"/>
  <c r="AB30" i="15"/>
  <c r="AA30" i="15"/>
  <c r="Z30" i="15"/>
  <c r="X30" i="15"/>
  <c r="W30" i="15"/>
  <c r="V30" i="15"/>
  <c r="S30" i="15"/>
  <c r="AC29" i="15"/>
  <c r="AB29" i="15"/>
  <c r="AA29" i="15"/>
  <c r="Z29" i="15"/>
  <c r="W29" i="15"/>
  <c r="V29" i="15"/>
  <c r="S29" i="15"/>
  <c r="AC28" i="15"/>
  <c r="AC28" i="21" s="1"/>
  <c r="AB28" i="15"/>
  <c r="AB28" i="21" s="1"/>
  <c r="AA28" i="15"/>
  <c r="AA28" i="21" s="1"/>
  <c r="Z28" i="15"/>
  <c r="Y28" i="15"/>
  <c r="Y28" i="21" s="1"/>
  <c r="X28" i="15"/>
  <c r="X28" i="21" s="1"/>
  <c r="W28" i="15"/>
  <c r="W28" i="21" s="1"/>
  <c r="V28" i="15"/>
  <c r="V28" i="21" s="1"/>
  <c r="U28" i="15"/>
  <c r="U28" i="21" s="1"/>
  <c r="T28" i="15"/>
  <c r="T28" i="21" s="1"/>
  <c r="S28" i="15"/>
  <c r="S28" i="21" s="1"/>
  <c r="AC27" i="15"/>
  <c r="AC27" i="21" s="1"/>
  <c r="AB27" i="15"/>
  <c r="AB27" i="21" s="1"/>
  <c r="AA27" i="15"/>
  <c r="AA27" i="21" s="1"/>
  <c r="Z27" i="15"/>
  <c r="Y27" i="15"/>
  <c r="Y27" i="21" s="1"/>
  <c r="X27" i="15"/>
  <c r="X27" i="21" s="1"/>
  <c r="W27" i="15"/>
  <c r="W27" i="21" s="1"/>
  <c r="V27" i="15"/>
  <c r="V27" i="21" s="1"/>
  <c r="U27" i="15"/>
  <c r="U27" i="21" s="1"/>
  <c r="T27" i="15"/>
  <c r="T27" i="21" s="1"/>
  <c r="S27" i="15"/>
  <c r="S27" i="21" s="1"/>
  <c r="AC26" i="15"/>
  <c r="AC26" i="21" s="1"/>
  <c r="AB26" i="15"/>
  <c r="AB26" i="21" s="1"/>
  <c r="AA26" i="15"/>
  <c r="AA26" i="21" s="1"/>
  <c r="Z26" i="15"/>
  <c r="Y26" i="15"/>
  <c r="Y26" i="21" s="1"/>
  <c r="X26" i="15"/>
  <c r="X26" i="21" s="1"/>
  <c r="W26" i="15"/>
  <c r="W26" i="21" s="1"/>
  <c r="V26" i="15"/>
  <c r="V26" i="21" s="1"/>
  <c r="U26" i="15"/>
  <c r="U26" i="21" s="1"/>
  <c r="T26" i="15"/>
  <c r="T26" i="21" s="1"/>
  <c r="S26" i="15"/>
  <c r="S26" i="21" s="1"/>
  <c r="AC25" i="15"/>
  <c r="AB25" i="15"/>
  <c r="AA25" i="15"/>
  <c r="Z25" i="15"/>
  <c r="Y25" i="15"/>
  <c r="X25" i="15"/>
  <c r="W25" i="15"/>
  <c r="V25" i="15"/>
  <c r="U25" i="15"/>
  <c r="T25" i="15"/>
  <c r="S25" i="15"/>
  <c r="AC24" i="15"/>
  <c r="AB24" i="15"/>
  <c r="AA24" i="15"/>
  <c r="Z24" i="15"/>
  <c r="Y24" i="15"/>
  <c r="X24" i="15"/>
  <c r="W24" i="15"/>
  <c r="V24" i="15"/>
  <c r="U24" i="15"/>
  <c r="T24" i="15"/>
  <c r="S24" i="15"/>
  <c r="S24" i="21" s="1"/>
  <c r="AC23" i="15"/>
  <c r="AB23" i="15"/>
  <c r="AA23" i="15"/>
  <c r="Z23" i="15"/>
  <c r="Y23" i="15"/>
  <c r="X23" i="15"/>
  <c r="W23" i="15"/>
  <c r="V23" i="15"/>
  <c r="U23" i="15"/>
  <c r="T23" i="15"/>
  <c r="S23" i="15"/>
  <c r="AC22" i="15"/>
  <c r="AC22" i="21" s="1"/>
  <c r="AB22" i="15"/>
  <c r="AB22" i="21" s="1"/>
  <c r="AA22" i="15"/>
  <c r="AA22" i="21" s="1"/>
  <c r="Z22" i="15"/>
  <c r="Z22" i="21" s="1"/>
  <c r="Y22" i="15"/>
  <c r="Y22" i="21" s="1"/>
  <c r="X22" i="15"/>
  <c r="W22" i="15"/>
  <c r="W22" i="21" s="1"/>
  <c r="V22" i="15"/>
  <c r="V22" i="21" s="1"/>
  <c r="U22" i="15"/>
  <c r="U22" i="21" s="1"/>
  <c r="T22" i="15"/>
  <c r="T22" i="21" s="1"/>
  <c r="S22" i="15"/>
  <c r="S22" i="21" s="1"/>
  <c r="AC21" i="15"/>
  <c r="AC21" i="21" s="1"/>
  <c r="AB21" i="15"/>
  <c r="AB21" i="21" s="1"/>
  <c r="AA21" i="15"/>
  <c r="AA21" i="21" s="1"/>
  <c r="Z21" i="15"/>
  <c r="Z21" i="21" s="1"/>
  <c r="Y21" i="15"/>
  <c r="Y21" i="21" s="1"/>
  <c r="X21" i="15"/>
  <c r="W21" i="15"/>
  <c r="W21" i="21" s="1"/>
  <c r="V21" i="15"/>
  <c r="V21" i="21" s="1"/>
  <c r="U21" i="15"/>
  <c r="U21" i="21" s="1"/>
  <c r="T21" i="15"/>
  <c r="T21" i="21" s="1"/>
  <c r="S21" i="15"/>
  <c r="S21" i="21" s="1"/>
  <c r="AC20" i="15"/>
  <c r="AB20" i="15"/>
  <c r="AA20" i="15"/>
  <c r="Z20" i="15"/>
  <c r="Y20" i="15"/>
  <c r="X20" i="15"/>
  <c r="W20" i="15"/>
  <c r="V20" i="15"/>
  <c r="U20" i="15"/>
  <c r="T20" i="15"/>
  <c r="S20" i="15"/>
  <c r="AC19" i="15"/>
  <c r="AB19" i="15"/>
  <c r="AA19" i="15"/>
  <c r="Z19" i="15"/>
  <c r="Y19" i="15"/>
  <c r="W19" i="15"/>
  <c r="V19" i="15"/>
  <c r="U19" i="15"/>
  <c r="T19" i="15"/>
  <c r="S19" i="15"/>
  <c r="AC18" i="15"/>
  <c r="AB18" i="15"/>
  <c r="AA18" i="15"/>
  <c r="Z18" i="15"/>
  <c r="Y18" i="15"/>
  <c r="X18" i="15"/>
  <c r="W18" i="15"/>
  <c r="V18" i="15"/>
  <c r="U18" i="15"/>
  <c r="T18" i="15"/>
  <c r="S18" i="15"/>
  <c r="S18" i="21" s="1"/>
  <c r="AC17" i="15"/>
  <c r="AC17" i="21" s="1"/>
  <c r="AB17" i="15"/>
  <c r="AA17" i="15"/>
  <c r="Z17" i="15"/>
  <c r="Y17" i="15"/>
  <c r="X17" i="15"/>
  <c r="W17" i="15"/>
  <c r="V17" i="15"/>
  <c r="U17" i="15"/>
  <c r="T17" i="15"/>
  <c r="S17" i="15"/>
  <c r="AC16" i="15"/>
  <c r="AB16" i="15"/>
  <c r="AA16" i="15"/>
  <c r="Z16" i="15"/>
  <c r="Y16" i="15"/>
  <c r="X16" i="15"/>
  <c r="W16" i="15"/>
  <c r="V16" i="15"/>
  <c r="U16" i="15"/>
  <c r="T16" i="15"/>
  <c r="S16" i="15"/>
  <c r="S16" i="21" s="1"/>
  <c r="AC14" i="17"/>
  <c r="AB14" i="17"/>
  <c r="AA14" i="17"/>
  <c r="Z14" i="17"/>
  <c r="Y14" i="17"/>
  <c r="X14" i="17"/>
  <c r="W14" i="17"/>
  <c r="V14" i="17"/>
  <c r="U14" i="17"/>
  <c r="AC13" i="17"/>
  <c r="AB13" i="17"/>
  <c r="AA13" i="17"/>
  <c r="Z13" i="17"/>
  <c r="Y13" i="17"/>
  <c r="X13" i="17"/>
  <c r="W13" i="17"/>
  <c r="V13" i="17"/>
  <c r="U13" i="17"/>
  <c r="AC11" i="15"/>
  <c r="AC11" i="21" s="1"/>
  <c r="AB11" i="15"/>
  <c r="AB11" i="21" s="1"/>
  <c r="AA11" i="15"/>
  <c r="Z11" i="15"/>
  <c r="Y11" i="15"/>
  <c r="X11" i="15"/>
  <c r="W11" i="15"/>
  <c r="V11" i="15"/>
  <c r="U11" i="15"/>
  <c r="T11" i="15"/>
  <c r="S11" i="15"/>
  <c r="AC10" i="15"/>
  <c r="AB10" i="15"/>
  <c r="AA10" i="15"/>
  <c r="Z10" i="15"/>
  <c r="Z10" i="21" s="1"/>
  <c r="Y10" i="15"/>
  <c r="X10" i="15"/>
  <c r="W10" i="15"/>
  <c r="V10" i="15"/>
  <c r="U10" i="15"/>
  <c r="T10" i="15"/>
  <c r="S10" i="15"/>
  <c r="AC9" i="15"/>
  <c r="AB9" i="15"/>
  <c r="AA9" i="15"/>
  <c r="Z9" i="15"/>
  <c r="Y9" i="15"/>
  <c r="X9" i="15"/>
  <c r="W9" i="15"/>
  <c r="V9" i="15"/>
  <c r="U9" i="15"/>
  <c r="S9" i="15"/>
  <c r="S9" i="21" s="1"/>
  <c r="Z28" i="21" l="1"/>
  <c r="AF28" i="17"/>
  <c r="AQ28" i="17" s="1"/>
  <c r="Z27" i="21"/>
  <c r="AF27" i="17"/>
  <c r="AQ27" i="17" s="1"/>
  <c r="Z26" i="21"/>
  <c r="AF26" i="17"/>
  <c r="AQ26" i="17" s="1"/>
  <c r="AC23" i="21"/>
  <c r="AE23" i="17"/>
  <c r="AQ23" i="17" s="1"/>
  <c r="AC24" i="21"/>
  <c r="AE24" i="17"/>
  <c r="AQ24" i="17" s="1"/>
  <c r="AC25" i="21"/>
  <c r="AE25" i="17"/>
  <c r="AQ25" i="17" s="1"/>
  <c r="AB16" i="21"/>
  <c r="AE16" i="17"/>
  <c r="AC16" i="21"/>
  <c r="AF16" i="17"/>
  <c r="X22" i="21"/>
  <c r="AG22" i="17"/>
  <c r="X21" i="21"/>
  <c r="AG21" i="17"/>
  <c r="AB18" i="21"/>
  <c r="AE18" i="17"/>
  <c r="AB19" i="21"/>
  <c r="AE19" i="17"/>
  <c r="AC20" i="21"/>
  <c r="AF20" i="17"/>
  <c r="AC18" i="21"/>
  <c r="AF18" i="17"/>
  <c r="AC19" i="21"/>
  <c r="AF19" i="17"/>
  <c r="AB20" i="21"/>
  <c r="AE20" i="17"/>
  <c r="AC34" i="21"/>
  <c r="AF34" i="17"/>
  <c r="AB34" i="21"/>
  <c r="AE34" i="17"/>
  <c r="AQ34" i="17" s="1"/>
  <c r="AC32" i="21"/>
  <c r="AF32" i="17"/>
  <c r="AB32" i="21"/>
  <c r="AE32" i="17"/>
  <c r="AB33" i="21"/>
  <c r="AE33" i="17"/>
  <c r="AC33" i="21"/>
  <c r="AF33" i="17"/>
  <c r="AB37" i="21"/>
  <c r="AE37" i="17"/>
  <c r="AC37" i="21"/>
  <c r="AF37" i="17"/>
  <c r="AB35" i="21"/>
  <c r="AE35" i="17"/>
  <c r="AC35" i="21"/>
  <c r="AF35" i="17"/>
  <c r="AB36" i="21"/>
  <c r="AE36" i="17"/>
  <c r="AC36" i="21"/>
  <c r="AF36" i="17"/>
  <c r="AC9" i="21"/>
  <c r="AE10" i="17"/>
  <c r="AQ10" i="17" s="1"/>
  <c r="AC10" i="21"/>
  <c r="AE11" i="17"/>
  <c r="AQ11" i="17" s="1"/>
  <c r="AC8" i="21"/>
  <c r="AE9" i="17"/>
  <c r="AQ9" i="17" s="1"/>
  <c r="AQ38" i="17"/>
  <c r="AC31" i="21"/>
  <c r="AE31" i="17"/>
  <c r="AC29" i="21"/>
  <c r="AE29" i="17"/>
  <c r="AC30" i="21"/>
  <c r="AE30" i="17"/>
  <c r="AC12" i="17"/>
  <c r="AA11" i="21"/>
  <c r="AA37" i="17"/>
  <c r="Y37" i="21"/>
  <c r="AB38" i="17"/>
  <c r="T39" i="17"/>
  <c r="X39" i="17"/>
  <c r="AB39" i="17"/>
  <c r="Y40" i="17"/>
  <c r="AC40" i="17"/>
  <c r="Z9" i="17"/>
  <c r="Y8" i="21"/>
  <c r="T38" i="17"/>
  <c r="W10" i="17"/>
  <c r="V9" i="21"/>
  <c r="AA10" i="17"/>
  <c r="Z9" i="21"/>
  <c r="T11" i="17"/>
  <c r="S10" i="21"/>
  <c r="X11" i="17"/>
  <c r="W10" i="21"/>
  <c r="AB11" i="17"/>
  <c r="AA10" i="21"/>
  <c r="V12" i="17"/>
  <c r="T11" i="21"/>
  <c r="Z12" i="17"/>
  <c r="X11" i="21"/>
  <c r="Y16" i="17"/>
  <c r="W16" i="21"/>
  <c r="AC16" i="17"/>
  <c r="AA16" i="21"/>
  <c r="U17" i="17"/>
  <c r="T17" i="21"/>
  <c r="AC17" i="17"/>
  <c r="AB17" i="21"/>
  <c r="V35" i="17"/>
  <c r="T35" i="21"/>
  <c r="Z35" i="17"/>
  <c r="X35" i="21"/>
  <c r="W36" i="17"/>
  <c r="U36" i="21"/>
  <c r="AA36" i="17"/>
  <c r="Y36" i="21"/>
  <c r="X37" i="17"/>
  <c r="V37" i="21"/>
  <c r="AB37" i="17"/>
  <c r="Z37" i="21"/>
  <c r="U38" i="17"/>
  <c r="Y38" i="17"/>
  <c r="AC38" i="17"/>
  <c r="U39" i="17"/>
  <c r="Y39" i="17"/>
  <c r="AC39" i="17"/>
  <c r="V40" i="17"/>
  <c r="Z40" i="17"/>
  <c r="W9" i="17"/>
  <c r="V8" i="21"/>
  <c r="AA9" i="17"/>
  <c r="Z8" i="21"/>
  <c r="S10" i="17"/>
  <c r="R9" i="21"/>
  <c r="T35" i="17"/>
  <c r="R35" i="21"/>
  <c r="W11" i="17"/>
  <c r="V10" i="21"/>
  <c r="Y12" i="17"/>
  <c r="W11" i="21"/>
  <c r="AB16" i="17"/>
  <c r="Z16" i="21"/>
  <c r="Y35" i="17"/>
  <c r="W35" i="21"/>
  <c r="AC35" i="17"/>
  <c r="AA35" i="21"/>
  <c r="V36" i="17"/>
  <c r="T36" i="21"/>
  <c r="Z36" i="17"/>
  <c r="X36" i="21"/>
  <c r="W37" i="17"/>
  <c r="U37" i="21"/>
  <c r="X38" i="17"/>
  <c r="U40" i="17"/>
  <c r="X10" i="17"/>
  <c r="W9" i="21"/>
  <c r="AB10" i="17"/>
  <c r="AA9" i="21"/>
  <c r="U11" i="17"/>
  <c r="T10" i="21"/>
  <c r="Y11" i="17"/>
  <c r="X10" i="21"/>
  <c r="AC11" i="17"/>
  <c r="AB10" i="21"/>
  <c r="W12" i="17"/>
  <c r="U11" i="21"/>
  <c r="AA12" i="17"/>
  <c r="Y11" i="21"/>
  <c r="V16" i="17"/>
  <c r="T16" i="21"/>
  <c r="V17" i="17"/>
  <c r="U17" i="21"/>
  <c r="W35" i="17"/>
  <c r="U35" i="21"/>
  <c r="AA35" i="17"/>
  <c r="Y35" i="21"/>
  <c r="X36" i="17"/>
  <c r="V36" i="21"/>
  <c r="AB36" i="17"/>
  <c r="Z36" i="21"/>
  <c r="U37" i="17"/>
  <c r="S37" i="21"/>
  <c r="Y37" i="17"/>
  <c r="W37" i="21"/>
  <c r="AC37" i="17"/>
  <c r="AA37" i="21"/>
  <c r="V38" i="17"/>
  <c r="Z38" i="17"/>
  <c r="V39" i="17"/>
  <c r="Z39" i="17"/>
  <c r="W40" i="17"/>
  <c r="AA40" i="17"/>
  <c r="T9" i="17"/>
  <c r="S8" i="21"/>
  <c r="X9" i="17"/>
  <c r="W8" i="21"/>
  <c r="AB9" i="17"/>
  <c r="AA8" i="21"/>
  <c r="S11" i="17"/>
  <c r="R10" i="21"/>
  <c r="T16" i="17"/>
  <c r="R16" i="21"/>
  <c r="T36" i="17"/>
  <c r="R36" i="21"/>
  <c r="S40" i="17"/>
  <c r="V10" i="17"/>
  <c r="U9" i="21"/>
  <c r="Z10" i="17"/>
  <c r="Y9" i="21"/>
  <c r="U12" i="17"/>
  <c r="S11" i="21"/>
  <c r="X16" i="17"/>
  <c r="V16" i="21"/>
  <c r="T17" i="17"/>
  <c r="S17" i="21"/>
  <c r="AB17" i="17"/>
  <c r="AA17" i="21"/>
  <c r="V9" i="17"/>
  <c r="U8" i="21"/>
  <c r="Y10" i="17"/>
  <c r="X9" i="21"/>
  <c r="AC10" i="17"/>
  <c r="AB9" i="21"/>
  <c r="V11" i="17"/>
  <c r="U10" i="21"/>
  <c r="Z11" i="17"/>
  <c r="Y10" i="21"/>
  <c r="X12" i="17"/>
  <c r="V11" i="21"/>
  <c r="AB12" i="17"/>
  <c r="Z11" i="21"/>
  <c r="W16" i="17"/>
  <c r="U16" i="21"/>
  <c r="W17" i="17"/>
  <c r="V17" i="21"/>
  <c r="AA17" i="17"/>
  <c r="Z17" i="21"/>
  <c r="X35" i="17"/>
  <c r="V35" i="21"/>
  <c r="AB35" i="17"/>
  <c r="Z35" i="21"/>
  <c r="U36" i="17"/>
  <c r="S36" i="21"/>
  <c r="Y36" i="17"/>
  <c r="W36" i="21"/>
  <c r="AC36" i="17"/>
  <c r="AA36" i="21"/>
  <c r="Z37" i="17"/>
  <c r="X37" i="21"/>
  <c r="AA38" i="17"/>
  <c r="W39" i="17"/>
  <c r="AA39" i="17"/>
  <c r="T40" i="17"/>
  <c r="X40" i="17"/>
  <c r="AB40" i="17"/>
  <c r="U9" i="17"/>
  <c r="T8" i="21"/>
  <c r="Y9" i="17"/>
  <c r="X8" i="21"/>
  <c r="AC9" i="17"/>
  <c r="AB8" i="21"/>
  <c r="T12" i="17"/>
  <c r="R11" i="21"/>
  <c r="S17" i="17"/>
  <c r="R17" i="21"/>
  <c r="T37" i="17"/>
  <c r="R37" i="21"/>
  <c r="U10" i="17"/>
  <c r="T9" i="21"/>
  <c r="U19" i="17"/>
  <c r="S19" i="21"/>
  <c r="V18" i="17"/>
  <c r="T18" i="21"/>
  <c r="Z18" i="17"/>
  <c r="X18" i="21"/>
  <c r="W19" i="17"/>
  <c r="U19" i="21"/>
  <c r="AB19" i="17"/>
  <c r="Z19" i="21"/>
  <c r="U20" i="17"/>
  <c r="S20" i="21"/>
  <c r="Y20" i="17"/>
  <c r="W20" i="21"/>
  <c r="AC20" i="17"/>
  <c r="AA20" i="21"/>
  <c r="T18" i="17"/>
  <c r="R18" i="21"/>
  <c r="W18" i="17"/>
  <c r="U18" i="21"/>
  <c r="AA18" i="17"/>
  <c r="Y18" i="21"/>
  <c r="X19" i="17"/>
  <c r="V19" i="21"/>
  <c r="AC19" i="17"/>
  <c r="AA19" i="21"/>
  <c r="V20" i="17"/>
  <c r="T20" i="21"/>
  <c r="Z20" i="17"/>
  <c r="X20" i="21"/>
  <c r="T19" i="17"/>
  <c r="R19" i="21"/>
  <c r="X18" i="17"/>
  <c r="V18" i="21"/>
  <c r="Y19" i="17"/>
  <c r="W19" i="21"/>
  <c r="W20" i="17"/>
  <c r="U20" i="21"/>
  <c r="AA20" i="17"/>
  <c r="Y20" i="21"/>
  <c r="T20" i="17"/>
  <c r="R20" i="21"/>
  <c r="AB18" i="17"/>
  <c r="Z18" i="21"/>
  <c r="Y18" i="17"/>
  <c r="W18" i="21"/>
  <c r="AC18" i="17"/>
  <c r="AA18" i="21"/>
  <c r="V19" i="17"/>
  <c r="T19" i="21"/>
  <c r="AA19" i="17"/>
  <c r="Y19" i="21"/>
  <c r="X20" i="17"/>
  <c r="V20" i="21"/>
  <c r="AB20" i="17"/>
  <c r="Z20" i="21"/>
  <c r="AA16" i="17"/>
  <c r="Y16" i="21"/>
  <c r="Z16" i="17"/>
  <c r="X16" i="21"/>
  <c r="Y17" i="17"/>
  <c r="X17" i="21"/>
  <c r="Z17" i="17"/>
  <c r="Y17" i="21"/>
  <c r="U23" i="17"/>
  <c r="T23" i="21"/>
  <c r="W25" i="17"/>
  <c r="V25" i="21"/>
  <c r="W24" i="17"/>
  <c r="V24" i="21"/>
  <c r="AA24" i="17"/>
  <c r="Z24" i="21"/>
  <c r="T25" i="17"/>
  <c r="S25" i="21"/>
  <c r="X25" i="17"/>
  <c r="W25" i="21"/>
  <c r="AB25" i="17"/>
  <c r="AA25" i="21"/>
  <c r="S23" i="17"/>
  <c r="R23" i="21"/>
  <c r="Y23" i="17"/>
  <c r="X23" i="21"/>
  <c r="AC23" i="17"/>
  <c r="AB23" i="21"/>
  <c r="V24" i="17"/>
  <c r="U24" i="21"/>
  <c r="Z24" i="17"/>
  <c r="Y24" i="21"/>
  <c r="AA25" i="17"/>
  <c r="Z25" i="21"/>
  <c r="V23" i="17"/>
  <c r="U23" i="21"/>
  <c r="Z23" i="17"/>
  <c r="Y23" i="21"/>
  <c r="W23" i="17"/>
  <c r="V23" i="21"/>
  <c r="AA23" i="17"/>
  <c r="Z23" i="21"/>
  <c r="X24" i="17"/>
  <c r="W24" i="21"/>
  <c r="AB24" i="17"/>
  <c r="AA24" i="21"/>
  <c r="U25" i="17"/>
  <c r="T25" i="21"/>
  <c r="Y25" i="17"/>
  <c r="X25" i="21"/>
  <c r="AC25" i="17"/>
  <c r="AB25" i="21"/>
  <c r="S24" i="17"/>
  <c r="R24" i="21"/>
  <c r="T23" i="17"/>
  <c r="S23" i="21"/>
  <c r="X23" i="17"/>
  <c r="W23" i="21"/>
  <c r="AB23" i="17"/>
  <c r="AA23" i="21"/>
  <c r="U24" i="17"/>
  <c r="T24" i="21"/>
  <c r="Y24" i="17"/>
  <c r="X24" i="21"/>
  <c r="AC24" i="17"/>
  <c r="AB24" i="21"/>
  <c r="V25" i="17"/>
  <c r="U25" i="21"/>
  <c r="Z25" i="17"/>
  <c r="Y25" i="21"/>
  <c r="S25" i="17"/>
  <c r="R25" i="21"/>
  <c r="T13" i="17"/>
  <c r="R12" i="21"/>
  <c r="T14" i="17"/>
  <c r="R13" i="21"/>
  <c r="Z29" i="17"/>
  <c r="Y29" i="21"/>
  <c r="U29" i="17"/>
  <c r="T29" i="21"/>
  <c r="S30" i="17"/>
  <c r="R30" i="21"/>
  <c r="AA29" i="17"/>
  <c r="Z29" i="21"/>
  <c r="AA30" i="17"/>
  <c r="Z30" i="21"/>
  <c r="Z31" i="17"/>
  <c r="Y31" i="21"/>
  <c r="T29" i="17"/>
  <c r="S29" i="21"/>
  <c r="AB29" i="17"/>
  <c r="AA29" i="21"/>
  <c r="W30" i="17"/>
  <c r="V30" i="21"/>
  <c r="AB30" i="17"/>
  <c r="AA30" i="21"/>
  <c r="W31" i="17"/>
  <c r="V31" i="21"/>
  <c r="AA31" i="17"/>
  <c r="Z31" i="21"/>
  <c r="V30" i="17"/>
  <c r="U30" i="21"/>
  <c r="V29" i="17"/>
  <c r="U29" i="21"/>
  <c r="S31" i="17"/>
  <c r="R31" i="21"/>
  <c r="T30" i="17"/>
  <c r="S30" i="21"/>
  <c r="U31" i="17"/>
  <c r="T31" i="21"/>
  <c r="W29" i="17"/>
  <c r="V29" i="21"/>
  <c r="AC29" i="17"/>
  <c r="AB29" i="21"/>
  <c r="X30" i="17"/>
  <c r="W30" i="21"/>
  <c r="AC30" i="17"/>
  <c r="AB30" i="21"/>
  <c r="X31" i="17"/>
  <c r="W31" i="21"/>
  <c r="AB31" i="17"/>
  <c r="AA31" i="21"/>
  <c r="Z30" i="17"/>
  <c r="Y30" i="21"/>
  <c r="X29" i="17"/>
  <c r="W29" i="21"/>
  <c r="Y30" i="17"/>
  <c r="X30" i="21"/>
  <c r="Y31" i="17"/>
  <c r="X31" i="21"/>
  <c r="AC31" i="17"/>
  <c r="AB31" i="21"/>
  <c r="V31" i="17"/>
  <c r="U31" i="21"/>
  <c r="S29" i="17"/>
  <c r="R29" i="21"/>
  <c r="X32" i="17"/>
  <c r="V32" i="21"/>
  <c r="AB32" i="17"/>
  <c r="Z32" i="21"/>
  <c r="U33" i="17"/>
  <c r="S33" i="21"/>
  <c r="Y33" i="17"/>
  <c r="W33" i="21"/>
  <c r="AC33" i="17"/>
  <c r="AA33" i="21"/>
  <c r="V34" i="17"/>
  <c r="T34" i="21"/>
  <c r="Z34" i="17"/>
  <c r="X34" i="21"/>
  <c r="T34" i="17"/>
  <c r="R34" i="21"/>
  <c r="X34" i="17"/>
  <c r="V34" i="21"/>
  <c r="AB34" i="17"/>
  <c r="Z34" i="21"/>
  <c r="T32" i="17"/>
  <c r="R32" i="21"/>
  <c r="U32" i="17"/>
  <c r="S32" i="21"/>
  <c r="Y32" i="17"/>
  <c r="W32" i="21"/>
  <c r="AC32" i="17"/>
  <c r="AA32" i="21"/>
  <c r="V33" i="17"/>
  <c r="T33" i="21"/>
  <c r="Z33" i="17"/>
  <c r="X33" i="21"/>
  <c r="W34" i="17"/>
  <c r="U34" i="21"/>
  <c r="AA34" i="17"/>
  <c r="Y34" i="21"/>
  <c r="V32" i="17"/>
  <c r="T32" i="21"/>
  <c r="Z32" i="17"/>
  <c r="X32" i="21"/>
  <c r="W33" i="17"/>
  <c r="U33" i="21"/>
  <c r="AA33" i="17"/>
  <c r="Y33" i="21"/>
  <c r="W32" i="17"/>
  <c r="U32" i="21"/>
  <c r="AA32" i="17"/>
  <c r="Y32" i="21"/>
  <c r="X33" i="17"/>
  <c r="V33" i="21"/>
  <c r="AB33" i="17"/>
  <c r="Z33" i="21"/>
  <c r="U34" i="17"/>
  <c r="S34" i="21"/>
  <c r="Y34" i="17"/>
  <c r="W34" i="21"/>
  <c r="AC34" i="17"/>
  <c r="AA34" i="21"/>
  <c r="T33" i="17"/>
  <c r="R33" i="21"/>
  <c r="X17" i="17"/>
  <c r="W17" i="21"/>
  <c r="R40" i="16"/>
  <c r="R40" i="21" s="1"/>
  <c r="R39" i="18"/>
  <c r="R39" i="16"/>
  <c r="R39" i="21" s="1"/>
  <c r="R38" i="18"/>
  <c r="R38" i="16"/>
  <c r="R38" i="21" s="1"/>
  <c r="R37" i="18"/>
  <c r="AD16" i="15"/>
  <c r="U16" i="17"/>
  <c r="U40" i="16"/>
  <c r="U4" i="16" s="1"/>
  <c r="T4" i="18"/>
  <c r="V40" i="16"/>
  <c r="V40" i="21" s="1"/>
  <c r="U4" i="18"/>
  <c r="Z40" i="16"/>
  <c r="Z4" i="16" s="1"/>
  <c r="Y4" i="18"/>
  <c r="Y40" i="16"/>
  <c r="Y4" i="16" s="1"/>
  <c r="X4" i="18"/>
  <c r="S40" i="16"/>
  <c r="S4" i="16" s="1"/>
  <c r="W40" i="16"/>
  <c r="W4" i="16" s="1"/>
  <c r="V4" i="18"/>
  <c r="AA40" i="16"/>
  <c r="AA4" i="16" s="1"/>
  <c r="Z4" i="18"/>
  <c r="AC40" i="16"/>
  <c r="AC4" i="16" s="1"/>
  <c r="AB4" i="18"/>
  <c r="T40" i="16"/>
  <c r="T4" i="16" s="1"/>
  <c r="S4" i="18"/>
  <c r="X40" i="16"/>
  <c r="X4" i="16" s="1"/>
  <c r="W4" i="18"/>
  <c r="AB40" i="16"/>
  <c r="AB4" i="16" s="1"/>
  <c r="AA4" i="18"/>
  <c r="AB39" i="16"/>
  <c r="AB3" i="16" s="1"/>
  <c r="AA3" i="18"/>
  <c r="U39" i="16"/>
  <c r="U3" i="16" s="1"/>
  <c r="T3" i="18"/>
  <c r="Y39" i="16"/>
  <c r="Y3" i="16" s="1"/>
  <c r="X3" i="18"/>
  <c r="AC39" i="16"/>
  <c r="AC3" i="16" s="1"/>
  <c r="AB3" i="18"/>
  <c r="T39" i="16"/>
  <c r="T3" i="16" s="1"/>
  <c r="S3" i="18"/>
  <c r="V39" i="16"/>
  <c r="V3" i="16" s="1"/>
  <c r="U3" i="18"/>
  <c r="Z39" i="16"/>
  <c r="Z3" i="16" s="1"/>
  <c r="Y3" i="18"/>
  <c r="X39" i="16"/>
  <c r="X3" i="16" s="1"/>
  <c r="W3" i="18"/>
  <c r="S39" i="16"/>
  <c r="S39" i="21" s="1"/>
  <c r="W39" i="16"/>
  <c r="W3" i="16" s="1"/>
  <c r="V3" i="18"/>
  <c r="AA39" i="16"/>
  <c r="AA3" i="16" s="1"/>
  <c r="Z3" i="18"/>
  <c r="AD39" i="15"/>
  <c r="S39" i="17"/>
  <c r="T38" i="16"/>
  <c r="T2" i="16" s="1"/>
  <c r="S2" i="18"/>
  <c r="U38" i="16"/>
  <c r="T2" i="18"/>
  <c r="Y38" i="16"/>
  <c r="Y2" i="16" s="1"/>
  <c r="X2" i="18"/>
  <c r="AC38" i="16"/>
  <c r="AC38" i="21" s="1"/>
  <c r="AB2" i="18"/>
  <c r="X38" i="16"/>
  <c r="X2" i="16" s="1"/>
  <c r="W2" i="18"/>
  <c r="V38" i="16"/>
  <c r="V2" i="16" s="1"/>
  <c r="U2" i="18"/>
  <c r="Z38" i="16"/>
  <c r="Z2" i="16" s="1"/>
  <c r="Y2" i="18"/>
  <c r="AB38" i="16"/>
  <c r="AB2" i="16" s="1"/>
  <c r="AA2" i="18"/>
  <c r="S38" i="16"/>
  <c r="S2" i="16" s="1"/>
  <c r="W38" i="16"/>
  <c r="W2" i="16" s="1"/>
  <c r="V2" i="18"/>
  <c r="AA38" i="16"/>
  <c r="AA2" i="16" s="1"/>
  <c r="Z2" i="18"/>
  <c r="AD26" i="18"/>
  <c r="AD27" i="18"/>
  <c r="AD16" i="18"/>
  <c r="AD30" i="18"/>
  <c r="AD29" i="18"/>
  <c r="AD28" i="18"/>
  <c r="AD37" i="15"/>
  <c r="V37" i="17"/>
  <c r="AD35" i="15"/>
  <c r="U35" i="17"/>
  <c r="AD36" i="18"/>
  <c r="AD18" i="18"/>
  <c r="AD18" i="15"/>
  <c r="U18" i="17"/>
  <c r="AD20" i="18"/>
  <c r="AD24" i="18"/>
  <c r="AD22" i="18"/>
  <c r="AD23" i="18"/>
  <c r="AD24" i="15"/>
  <c r="T24" i="17"/>
  <c r="AD32" i="18"/>
  <c r="AD31" i="18"/>
  <c r="AD12" i="18"/>
  <c r="AA11" i="14"/>
  <c r="AA16" i="14"/>
  <c r="S43" i="14"/>
  <c r="AA39" i="14"/>
  <c r="AA44" i="14"/>
  <c r="U43" i="14"/>
  <c r="AD12" i="15"/>
  <c r="AD22" i="15"/>
  <c r="AD21" i="15"/>
  <c r="AD32" i="15"/>
  <c r="AD20" i="15"/>
  <c r="AD33" i="15"/>
  <c r="AD17" i="15"/>
  <c r="AD23" i="15"/>
  <c r="AD27" i="15"/>
  <c r="AD40" i="15"/>
  <c r="AD13" i="15"/>
  <c r="AD26" i="15"/>
  <c r="AD38" i="15"/>
  <c r="AD9" i="15"/>
  <c r="AD11" i="15"/>
  <c r="AD25" i="15"/>
  <c r="R2" i="15"/>
  <c r="AD10" i="15"/>
  <c r="AD34" i="15"/>
  <c r="AD8" i="15"/>
  <c r="AA11" i="17"/>
  <c r="T10" i="17"/>
  <c r="AD28" i="15"/>
  <c r="AD36" i="15"/>
  <c r="X43" i="14"/>
  <c r="V43" i="14"/>
  <c r="Q43" i="14"/>
  <c r="Y43" i="14"/>
  <c r="O43" i="14"/>
  <c r="W43" i="14"/>
  <c r="T43" i="14"/>
  <c r="AA33" i="14"/>
  <c r="AA29" i="14"/>
  <c r="AD12" i="16"/>
  <c r="AA20" i="14"/>
  <c r="AA5" i="14"/>
  <c r="AA54" i="14"/>
  <c r="AA58" i="14"/>
  <c r="P43" i="14"/>
  <c r="V66" i="14"/>
  <c r="AA67" i="14"/>
  <c r="W66" i="14"/>
  <c r="R43" i="14"/>
  <c r="Z43" i="14"/>
  <c r="AA26" i="13"/>
  <c r="AA36" i="13"/>
  <c r="AA30" i="13"/>
  <c r="AA47" i="13"/>
  <c r="AA21" i="13"/>
  <c r="AA5" i="13"/>
  <c r="T30" i="15"/>
  <c r="T30" i="21" s="1"/>
  <c r="S31" i="15"/>
  <c r="S31" i="21" s="1"/>
  <c r="AA11" i="13"/>
  <c r="R16" i="13"/>
  <c r="X29" i="15"/>
  <c r="X29" i="21" s="1"/>
  <c r="S16" i="13"/>
  <c r="AA41" i="13"/>
  <c r="AC2" i="15"/>
  <c r="AD17" i="16"/>
  <c r="AD36" i="16"/>
  <c r="AD16" i="16"/>
  <c r="AD28" i="16"/>
  <c r="AD11" i="16"/>
  <c r="AD20" i="16"/>
  <c r="AD22" i="16"/>
  <c r="AD24" i="16"/>
  <c r="AD30" i="16"/>
  <c r="AD13" i="16"/>
  <c r="AD9" i="16"/>
  <c r="AD10" i="16"/>
  <c r="AD19" i="16"/>
  <c r="AD21" i="16"/>
  <c r="AD26" i="16"/>
  <c r="AD27" i="16"/>
  <c r="AD29" i="16"/>
  <c r="AD34" i="16"/>
  <c r="AD35" i="16"/>
  <c r="AD37" i="16"/>
  <c r="AD25" i="16"/>
  <c r="AD33" i="16"/>
  <c r="AD31" i="16"/>
  <c r="AD32" i="16"/>
  <c r="AD8" i="16"/>
  <c r="F35" i="15"/>
  <c r="G35" i="15"/>
  <c r="H35" i="15"/>
  <c r="I35" i="15"/>
  <c r="J35" i="15"/>
  <c r="K35" i="15"/>
  <c r="L35" i="15"/>
  <c r="M35" i="15"/>
  <c r="N35" i="15"/>
  <c r="O35" i="15"/>
  <c r="P35" i="15"/>
  <c r="F36" i="15"/>
  <c r="G36" i="15"/>
  <c r="H36" i="15"/>
  <c r="I36" i="15"/>
  <c r="J36" i="15"/>
  <c r="K36" i="15"/>
  <c r="L36" i="15"/>
  <c r="M36" i="15"/>
  <c r="N36" i="15"/>
  <c r="O36" i="15"/>
  <c r="P36" i="15"/>
  <c r="F37" i="15"/>
  <c r="G37" i="15"/>
  <c r="H37" i="15"/>
  <c r="I37" i="15"/>
  <c r="J37" i="15"/>
  <c r="K37" i="15"/>
  <c r="L37" i="15"/>
  <c r="M37" i="15"/>
  <c r="N37" i="15"/>
  <c r="O37" i="15"/>
  <c r="P37" i="15"/>
  <c r="E37" i="15"/>
  <c r="E36" i="15"/>
  <c r="E35" i="15"/>
  <c r="F26" i="15"/>
  <c r="G26" i="15"/>
  <c r="H26" i="15"/>
  <c r="I26" i="15"/>
  <c r="J26" i="15"/>
  <c r="K26" i="15"/>
  <c r="L26" i="15"/>
  <c r="M26" i="15"/>
  <c r="N26" i="15"/>
  <c r="O26" i="15"/>
  <c r="P26" i="15"/>
  <c r="F27" i="15"/>
  <c r="G27" i="15"/>
  <c r="H27" i="15"/>
  <c r="I27" i="15"/>
  <c r="J27" i="15"/>
  <c r="K27" i="15"/>
  <c r="L27" i="15"/>
  <c r="M27" i="15"/>
  <c r="N27" i="15"/>
  <c r="O27" i="15"/>
  <c r="P27" i="15"/>
  <c r="F28" i="15"/>
  <c r="G28" i="15"/>
  <c r="H28" i="15"/>
  <c r="I28" i="15"/>
  <c r="J28" i="15"/>
  <c r="K28" i="15"/>
  <c r="L28" i="15"/>
  <c r="M28" i="15"/>
  <c r="N28" i="15"/>
  <c r="O28" i="15"/>
  <c r="P28" i="15"/>
  <c r="E28" i="15"/>
  <c r="E27" i="15"/>
  <c r="E26" i="15"/>
  <c r="F8" i="15"/>
  <c r="G8" i="15"/>
  <c r="H8" i="15"/>
  <c r="I8" i="15"/>
  <c r="J8" i="15"/>
  <c r="K8" i="15"/>
  <c r="L8" i="15"/>
  <c r="M8" i="15"/>
  <c r="N8" i="15"/>
  <c r="O8" i="15"/>
  <c r="P8" i="15"/>
  <c r="F9" i="15"/>
  <c r="G9" i="15"/>
  <c r="H9" i="15"/>
  <c r="I9" i="15"/>
  <c r="J9" i="15"/>
  <c r="K9" i="15"/>
  <c r="L9" i="15"/>
  <c r="M9" i="15"/>
  <c r="N9" i="15"/>
  <c r="O9" i="15"/>
  <c r="P9" i="15"/>
  <c r="F10" i="15"/>
  <c r="G10" i="15"/>
  <c r="H10" i="15"/>
  <c r="I10" i="15"/>
  <c r="J10" i="15"/>
  <c r="K10" i="15"/>
  <c r="L10" i="15"/>
  <c r="M10" i="15"/>
  <c r="N10" i="15"/>
  <c r="O10" i="15"/>
  <c r="P10" i="15"/>
  <c r="E10" i="15"/>
  <c r="E9" i="15"/>
  <c r="L21" i="15"/>
  <c r="M21" i="15"/>
  <c r="N21" i="15"/>
  <c r="O21" i="15"/>
  <c r="P21" i="15"/>
  <c r="H22" i="15"/>
  <c r="I22" i="15"/>
  <c r="J22" i="15"/>
  <c r="K22" i="15"/>
  <c r="L22" i="15"/>
  <c r="M22" i="15"/>
  <c r="N22" i="15"/>
  <c r="O22" i="15"/>
  <c r="P22" i="15"/>
  <c r="E8" i="15"/>
  <c r="Q15" i="15"/>
  <c r="AQ32" i="17" l="1"/>
  <c r="AF5" i="17"/>
  <c r="AF3" i="17"/>
  <c r="AF6" i="17"/>
  <c r="AF4" i="17"/>
  <c r="AQ16" i="17"/>
  <c r="AQ21" i="17"/>
  <c r="AG6" i="17"/>
  <c r="AG3" i="17"/>
  <c r="AQ22" i="17"/>
  <c r="AG4" i="17"/>
  <c r="AQ20" i="17"/>
  <c r="AQ19" i="17"/>
  <c r="AQ18" i="17"/>
  <c r="AQ33" i="17"/>
  <c r="AQ35" i="17"/>
  <c r="AQ36" i="17"/>
  <c r="AQ37" i="17"/>
  <c r="AE4" i="17"/>
  <c r="AQ30" i="17"/>
  <c r="AE6" i="17"/>
  <c r="AE3" i="17"/>
  <c r="AQ29" i="17"/>
  <c r="AE5" i="17"/>
  <c r="AQ31" i="17"/>
  <c r="R3" i="16"/>
  <c r="R2" i="16"/>
  <c r="R2" i="21" s="1"/>
  <c r="AD32" i="21"/>
  <c r="R4" i="16"/>
  <c r="AD9" i="21"/>
  <c r="AD8" i="21"/>
  <c r="AD25" i="21"/>
  <c r="AD10" i="21"/>
  <c r="AD16" i="21"/>
  <c r="Y40" i="21"/>
  <c r="Z40" i="21"/>
  <c r="T40" i="21"/>
  <c r="X40" i="21"/>
  <c r="AA40" i="21"/>
  <c r="S40" i="21"/>
  <c r="U40" i="21"/>
  <c r="W40" i="21"/>
  <c r="AB40" i="21"/>
  <c r="AC40" i="21"/>
  <c r="Y39" i="21"/>
  <c r="Z39" i="21"/>
  <c r="AB39" i="21"/>
  <c r="T39" i="21"/>
  <c r="W39" i="21"/>
  <c r="U39" i="21"/>
  <c r="AC39" i="21"/>
  <c r="V39" i="21"/>
  <c r="X39" i="21"/>
  <c r="AA39" i="21"/>
  <c r="Y38" i="21"/>
  <c r="X38" i="21"/>
  <c r="W38" i="21"/>
  <c r="Z38" i="21"/>
  <c r="T38" i="21"/>
  <c r="V38" i="21"/>
  <c r="AA38" i="21"/>
  <c r="S38" i="21"/>
  <c r="AB38" i="21"/>
  <c r="U2" i="16"/>
  <c r="U5" i="16" s="1"/>
  <c r="U38" i="21"/>
  <c r="AD26" i="21"/>
  <c r="AD35" i="21"/>
  <c r="AD37" i="21"/>
  <c r="AD36" i="21"/>
  <c r="AD13" i="21"/>
  <c r="AD17" i="21"/>
  <c r="AD24" i="21"/>
  <c r="AD22" i="21"/>
  <c r="AD21" i="21"/>
  <c r="AD20" i="21"/>
  <c r="L11" i="17"/>
  <c r="O10" i="17"/>
  <c r="N9" i="17"/>
  <c r="M37" i="17"/>
  <c r="P36" i="17"/>
  <c r="F10" i="17"/>
  <c r="K11" i="17"/>
  <c r="N10" i="17"/>
  <c r="R9" i="17"/>
  <c r="AD9" i="17" s="1"/>
  <c r="I9" i="17"/>
  <c r="P37" i="17"/>
  <c r="O36" i="17"/>
  <c r="S35" i="17"/>
  <c r="P35" i="21"/>
  <c r="N35" i="17"/>
  <c r="O11" i="17"/>
  <c r="G11" i="17"/>
  <c r="J10" i="17"/>
  <c r="F9" i="17"/>
  <c r="F11" i="17"/>
  <c r="N11" i="17"/>
  <c r="J11" i="17"/>
  <c r="R10" i="17"/>
  <c r="AD10" i="17" s="1"/>
  <c r="M10" i="17"/>
  <c r="I10" i="17"/>
  <c r="P9" i="17"/>
  <c r="L9" i="17"/>
  <c r="H9" i="17"/>
  <c r="O37" i="17"/>
  <c r="S36" i="17"/>
  <c r="P36" i="21"/>
  <c r="N36" i="17"/>
  <c r="R35" i="17"/>
  <c r="M35" i="17"/>
  <c r="P11" i="17"/>
  <c r="H11" i="17"/>
  <c r="K10" i="17"/>
  <c r="G10" i="17"/>
  <c r="J9" i="17"/>
  <c r="R37" i="17"/>
  <c r="O35" i="17"/>
  <c r="M9" i="17"/>
  <c r="R11" i="17"/>
  <c r="AD11" i="17" s="1"/>
  <c r="M11" i="17"/>
  <c r="I11" i="17"/>
  <c r="P10" i="17"/>
  <c r="L10" i="17"/>
  <c r="H10" i="17"/>
  <c r="O9" i="17"/>
  <c r="K9" i="17"/>
  <c r="G9" i="17"/>
  <c r="S37" i="17"/>
  <c r="P37" i="21"/>
  <c r="N37" i="17"/>
  <c r="R36" i="17"/>
  <c r="M36" i="17"/>
  <c r="P35" i="17"/>
  <c r="AD34" i="21"/>
  <c r="AD33" i="21"/>
  <c r="AD28" i="21"/>
  <c r="AD11" i="21"/>
  <c r="AD27" i="21"/>
  <c r="AD12" i="21"/>
  <c r="AD39" i="16"/>
  <c r="AD39" i="21" s="1"/>
  <c r="S3" i="16"/>
  <c r="S5" i="16" s="1"/>
  <c r="AD40" i="16"/>
  <c r="AD40" i="21" s="1"/>
  <c r="V4" i="16"/>
  <c r="L26" i="17"/>
  <c r="S28" i="17"/>
  <c r="AD28" i="17" s="1"/>
  <c r="V5" i="18"/>
  <c r="U5" i="18"/>
  <c r="X5" i="18"/>
  <c r="Z5" i="18"/>
  <c r="S5" i="18"/>
  <c r="T5" i="18"/>
  <c r="Y5" i="18"/>
  <c r="AA5" i="18"/>
  <c r="AB5" i="18"/>
  <c r="AD39" i="18"/>
  <c r="R4" i="18"/>
  <c r="W5" i="18"/>
  <c r="AD38" i="18"/>
  <c r="R3" i="18"/>
  <c r="AD37" i="18"/>
  <c r="R2" i="18"/>
  <c r="AD31" i="15"/>
  <c r="AD31" i="21" s="1"/>
  <c r="T31" i="17"/>
  <c r="AD29" i="15"/>
  <c r="AD2" i="15" s="1"/>
  <c r="Y29" i="17"/>
  <c r="AD30" i="15"/>
  <c r="AD30" i="21" s="1"/>
  <c r="U30" i="17"/>
  <c r="I27" i="17"/>
  <c r="AD18" i="16"/>
  <c r="AD18" i="21" s="1"/>
  <c r="AD17" i="18"/>
  <c r="AC2" i="16"/>
  <c r="AC5" i="16" s="1"/>
  <c r="AD23" i="16"/>
  <c r="AD23" i="21" s="1"/>
  <c r="L22" i="17"/>
  <c r="Q22" i="17" s="1"/>
  <c r="T22" i="17"/>
  <c r="AD22" i="17" s="1"/>
  <c r="T21" i="17"/>
  <c r="AD21" i="17" s="1"/>
  <c r="I28" i="17"/>
  <c r="I26" i="17"/>
  <c r="L28" i="17"/>
  <c r="O27" i="17"/>
  <c r="S26" i="17"/>
  <c r="AD26" i="17" s="1"/>
  <c r="L27" i="17"/>
  <c r="O26" i="17"/>
  <c r="O28" i="17"/>
  <c r="S27" i="17"/>
  <c r="AD27" i="17" s="1"/>
  <c r="AD15" i="16"/>
  <c r="AD15" i="21" s="1"/>
  <c r="AC4" i="18"/>
  <c r="AD14" i="18"/>
  <c r="AD13" i="18"/>
  <c r="AC3" i="18"/>
  <c r="AD38" i="16"/>
  <c r="AD38" i="21" s="1"/>
  <c r="AA66" i="14"/>
  <c r="AA43" i="14"/>
  <c r="T5" i="16"/>
  <c r="AB5" i="16"/>
  <c r="AA16" i="13"/>
  <c r="AA5" i="16"/>
  <c r="X5" i="16"/>
  <c r="W5" i="16"/>
  <c r="Y5" i="16"/>
  <c r="Z5" i="16"/>
  <c r="Q36" i="15"/>
  <c r="Q37" i="15"/>
  <c r="Q21" i="15"/>
  <c r="Q27" i="15"/>
  <c r="Q26" i="15"/>
  <c r="Q28" i="15"/>
  <c r="Q35" i="15"/>
  <c r="Q8" i="15"/>
  <c r="Q22" i="15"/>
  <c r="Q9" i="15"/>
  <c r="Q10" i="15"/>
  <c r="E5" i="17"/>
  <c r="E4" i="17"/>
  <c r="E3" i="17"/>
  <c r="X4" i="15"/>
  <c r="X4" i="21" s="1"/>
  <c r="W4" i="15"/>
  <c r="W4" i="21" s="1"/>
  <c r="T3" i="15"/>
  <c r="T3" i="21" s="1"/>
  <c r="AB4" i="15"/>
  <c r="AB4" i="21" s="1"/>
  <c r="Z4" i="15"/>
  <c r="Z4" i="21" s="1"/>
  <c r="T4" i="15"/>
  <c r="T4" i="21" s="1"/>
  <c r="R4" i="15"/>
  <c r="AC3" i="15"/>
  <c r="AC3" i="21" s="1"/>
  <c r="AB3" i="15"/>
  <c r="AB3" i="21" s="1"/>
  <c r="Y3" i="15"/>
  <c r="Y3" i="21" s="1"/>
  <c r="V3" i="15"/>
  <c r="V3" i="21" s="1"/>
  <c r="Z2" i="15"/>
  <c r="Z2" i="21" s="1"/>
  <c r="Y2" i="15"/>
  <c r="Y2" i="21" s="1"/>
  <c r="AC4" i="15"/>
  <c r="AC4" i="21" s="1"/>
  <c r="Y4" i="15"/>
  <c r="Y4" i="21" s="1"/>
  <c r="M5" i="14"/>
  <c r="AQ5" i="17" l="1"/>
  <c r="AQ4" i="17"/>
  <c r="AQ3" i="17"/>
  <c r="AQ6" i="17"/>
  <c r="AD37" i="17"/>
  <c r="AD35" i="17"/>
  <c r="AD36" i="17"/>
  <c r="R5" i="16"/>
  <c r="Q37" i="17"/>
  <c r="R4" i="21"/>
  <c r="AD4" i="16"/>
  <c r="Q10" i="17"/>
  <c r="Q11" i="17"/>
  <c r="Q36" i="17"/>
  <c r="Q35" i="17"/>
  <c r="Q9" i="17"/>
  <c r="AD29" i="21"/>
  <c r="AC2" i="21"/>
  <c r="V5" i="16"/>
  <c r="AD3" i="16"/>
  <c r="AC2" i="18"/>
  <c r="AD2" i="18" s="1"/>
  <c r="AD3" i="18"/>
  <c r="AD4" i="18"/>
  <c r="R5" i="18"/>
  <c r="Q27" i="17"/>
  <c r="Q28" i="17"/>
  <c r="AD2" i="16"/>
  <c r="AD2" i="21" s="1"/>
  <c r="Q26" i="17"/>
  <c r="W6" i="17"/>
  <c r="Y3" i="17"/>
  <c r="U4" i="17"/>
  <c r="AC4" i="17"/>
  <c r="W5" i="17"/>
  <c r="AA3" i="17"/>
  <c r="V3" i="17"/>
  <c r="Y4" i="17"/>
  <c r="AB4" i="17"/>
  <c r="Y5" i="17"/>
  <c r="U3" i="17"/>
  <c r="X5" i="17"/>
  <c r="Z3" i="17"/>
  <c r="Z5" i="17"/>
  <c r="W3" i="17"/>
  <c r="U5" i="17"/>
  <c r="AC5" i="17"/>
  <c r="AB3" i="17"/>
  <c r="AC6" i="17"/>
  <c r="AA5" i="17"/>
  <c r="V4" i="17"/>
  <c r="V6" i="17"/>
  <c r="AB5" i="17"/>
  <c r="AC3" i="17"/>
  <c r="X3" i="17"/>
  <c r="AA4" i="17"/>
  <c r="W4" i="17"/>
  <c r="T5" i="17"/>
  <c r="T3" i="17"/>
  <c r="AA2" i="15"/>
  <c r="AA2" i="21" s="1"/>
  <c r="AB2" i="15"/>
  <c r="AB2" i="21" s="1"/>
  <c r="U3" i="15"/>
  <c r="U3" i="21" s="1"/>
  <c r="S5" i="15"/>
  <c r="S5" i="21" s="1"/>
  <c r="Z3" i="15"/>
  <c r="Z3" i="21" s="1"/>
  <c r="W3" i="15"/>
  <c r="W3" i="21" s="1"/>
  <c r="T2" i="15"/>
  <c r="T2" i="21" s="1"/>
  <c r="U4" i="15"/>
  <c r="U4" i="21" s="1"/>
  <c r="AC5" i="15"/>
  <c r="AC5" i="21" s="1"/>
  <c r="R3" i="15"/>
  <c r="R3" i="21" s="1"/>
  <c r="W2" i="15"/>
  <c r="W2" i="21" s="1"/>
  <c r="AA3" i="15"/>
  <c r="AA3" i="21" s="1"/>
  <c r="S4" i="15"/>
  <c r="S4" i="21" s="1"/>
  <c r="AA4" i="15"/>
  <c r="AA4" i="21" s="1"/>
  <c r="V2" i="15"/>
  <c r="V2" i="21" s="1"/>
  <c r="V4" i="15"/>
  <c r="V4" i="21" s="1"/>
  <c r="S3" i="15"/>
  <c r="S3" i="21" s="1"/>
  <c r="X2" i="15"/>
  <c r="X2" i="21" s="1"/>
  <c r="AB6" i="17"/>
  <c r="X4" i="17"/>
  <c r="S2" i="15"/>
  <c r="S2" i="21" s="1"/>
  <c r="AA5" i="15"/>
  <c r="AA5" i="21" s="1"/>
  <c r="Y5" i="15"/>
  <c r="Y5" i="21" s="1"/>
  <c r="U2" i="15"/>
  <c r="U2" i="21" s="1"/>
  <c r="AA6" i="17"/>
  <c r="T4" i="17"/>
  <c r="V5" i="17"/>
  <c r="T6" i="17"/>
  <c r="E6" i="17"/>
  <c r="U6" i="17"/>
  <c r="X6" i="17"/>
  <c r="Y6" i="17"/>
  <c r="R5" i="15"/>
  <c r="Z5" i="15"/>
  <c r="Z5" i="21" s="1"/>
  <c r="T5" i="15"/>
  <c r="T5" i="21" s="1"/>
  <c r="AB5" i="15"/>
  <c r="AB5" i="21" s="1"/>
  <c r="U5" i="15"/>
  <c r="U5" i="21" s="1"/>
  <c r="V5" i="15"/>
  <c r="W5" i="15"/>
  <c r="W5" i="21" s="1"/>
  <c r="M47" i="13"/>
  <c r="R5" i="21" l="1"/>
  <c r="AD5" i="16"/>
  <c r="V5" i="21"/>
  <c r="AC5" i="18"/>
  <c r="AD5" i="18" s="1"/>
  <c r="AD4" i="15"/>
  <c r="AD4" i="21" s="1"/>
  <c r="M21" i="13"/>
  <c r="F15" i="16" l="1"/>
  <c r="F15" i="21" s="1"/>
  <c r="G15" i="16"/>
  <c r="G15" i="21" s="1"/>
  <c r="H15" i="16"/>
  <c r="H15" i="21" s="1"/>
  <c r="I15" i="16"/>
  <c r="I15" i="21" s="1"/>
  <c r="J15" i="16"/>
  <c r="J15" i="21" s="1"/>
  <c r="K15" i="16"/>
  <c r="K15" i="21" s="1"/>
  <c r="L15" i="16"/>
  <c r="L15" i="21" s="1"/>
  <c r="M15" i="16"/>
  <c r="M15" i="21" s="1"/>
  <c r="N15" i="16"/>
  <c r="N15" i="21" s="1"/>
  <c r="O15" i="16"/>
  <c r="O15" i="21" s="1"/>
  <c r="P15" i="16"/>
  <c r="P15" i="21" s="1"/>
  <c r="E15" i="16"/>
  <c r="F13" i="16"/>
  <c r="G13" i="16"/>
  <c r="H13" i="16"/>
  <c r="I13" i="16"/>
  <c r="J13" i="16"/>
  <c r="K13" i="16"/>
  <c r="L13" i="16"/>
  <c r="M13" i="16"/>
  <c r="N13" i="16"/>
  <c r="O13" i="16"/>
  <c r="P13" i="16"/>
  <c r="E13" i="16"/>
  <c r="F12" i="16"/>
  <c r="G12" i="16"/>
  <c r="H12" i="16"/>
  <c r="I12" i="16"/>
  <c r="J12" i="16"/>
  <c r="K12" i="16"/>
  <c r="L12" i="16"/>
  <c r="M12" i="16"/>
  <c r="N12" i="16"/>
  <c r="O12" i="16"/>
  <c r="P12" i="16"/>
  <c r="E12" i="16"/>
  <c r="C20" i="14"/>
  <c r="D20" i="14"/>
  <c r="E20" i="14"/>
  <c r="F20" i="14"/>
  <c r="G20" i="14"/>
  <c r="H20" i="14"/>
  <c r="I20" i="14"/>
  <c r="J20" i="14"/>
  <c r="K20" i="14"/>
  <c r="L20" i="14"/>
  <c r="M20" i="14"/>
  <c r="B20" i="14"/>
  <c r="Q15" i="16" l="1"/>
  <c r="Q15" i="21" s="1"/>
  <c r="E15" i="21"/>
  <c r="N20" i="14"/>
  <c r="M30" i="13"/>
  <c r="M11" i="13"/>
  <c r="C44" i="14" l="1"/>
  <c r="D44" i="14"/>
  <c r="E44" i="14"/>
  <c r="F44" i="14"/>
  <c r="G44" i="14"/>
  <c r="H44" i="14"/>
  <c r="I44" i="14"/>
  <c r="J44" i="14"/>
  <c r="K44" i="14"/>
  <c r="L44" i="14"/>
  <c r="M44" i="14"/>
  <c r="C54" i="14"/>
  <c r="D54" i="14"/>
  <c r="E54" i="14"/>
  <c r="F54" i="14"/>
  <c r="G54" i="14"/>
  <c r="H54" i="14"/>
  <c r="I54" i="14"/>
  <c r="J54" i="14"/>
  <c r="K54" i="14"/>
  <c r="L54" i="14"/>
  <c r="M54" i="14"/>
  <c r="B54" i="14"/>
  <c r="E38" i="18" s="1"/>
  <c r="C58" i="14"/>
  <c r="D58" i="14"/>
  <c r="E58" i="14"/>
  <c r="F58" i="14"/>
  <c r="G58" i="14"/>
  <c r="H58" i="14"/>
  <c r="I58" i="14"/>
  <c r="J58" i="14"/>
  <c r="K58" i="14"/>
  <c r="L58" i="14"/>
  <c r="M58" i="14"/>
  <c r="B58" i="14"/>
  <c r="E39" i="18" s="1"/>
  <c r="B44" i="14"/>
  <c r="E37" i="18" s="1"/>
  <c r="M40" i="16" l="1"/>
  <c r="M39" i="18"/>
  <c r="M4" i="18" s="1"/>
  <c r="E4" i="18"/>
  <c r="P40" i="16"/>
  <c r="P39" i="18"/>
  <c r="P4" i="18" s="1"/>
  <c r="H40" i="16"/>
  <c r="H39" i="18"/>
  <c r="H4" i="18" s="1"/>
  <c r="N40" i="16"/>
  <c r="N39" i="18"/>
  <c r="N4" i="18" s="1"/>
  <c r="J40" i="16"/>
  <c r="J39" i="18"/>
  <c r="J4" i="18" s="1"/>
  <c r="F40" i="16"/>
  <c r="F39" i="18"/>
  <c r="F4" i="18" s="1"/>
  <c r="I40" i="16"/>
  <c r="I39" i="18"/>
  <c r="I4" i="18" s="1"/>
  <c r="L40" i="16"/>
  <c r="L39" i="18"/>
  <c r="L4" i="18" s="1"/>
  <c r="O40" i="16"/>
  <c r="O39" i="18"/>
  <c r="O4" i="18" s="1"/>
  <c r="K40" i="16"/>
  <c r="K39" i="18"/>
  <c r="K4" i="18" s="1"/>
  <c r="G40" i="16"/>
  <c r="G39" i="18"/>
  <c r="G4" i="18" s="1"/>
  <c r="L39" i="16"/>
  <c r="L38" i="18"/>
  <c r="L3" i="18" s="1"/>
  <c r="H39" i="16"/>
  <c r="H38" i="18"/>
  <c r="H3" i="18" s="1"/>
  <c r="O39" i="16"/>
  <c r="O38" i="18"/>
  <c r="O3" i="18" s="1"/>
  <c r="K39" i="16"/>
  <c r="K38" i="18"/>
  <c r="K3" i="18" s="1"/>
  <c r="G39" i="16"/>
  <c r="G38" i="18"/>
  <c r="G3" i="18" s="1"/>
  <c r="N39" i="16"/>
  <c r="N38" i="18"/>
  <c r="N3" i="18" s="1"/>
  <c r="J39" i="16"/>
  <c r="J38" i="18"/>
  <c r="J3" i="18" s="1"/>
  <c r="F39" i="16"/>
  <c r="F38" i="18"/>
  <c r="F3" i="18" s="1"/>
  <c r="E3" i="18"/>
  <c r="M39" i="16"/>
  <c r="M38" i="18"/>
  <c r="M3" i="18" s="1"/>
  <c r="I39" i="16"/>
  <c r="I38" i="18"/>
  <c r="I3" i="18" s="1"/>
  <c r="P39" i="16"/>
  <c r="P38" i="18"/>
  <c r="P3" i="18" s="1"/>
  <c r="M38" i="16"/>
  <c r="M37" i="18"/>
  <c r="L38" i="16"/>
  <c r="L37" i="18"/>
  <c r="H38" i="16"/>
  <c r="H37" i="18"/>
  <c r="I38" i="16"/>
  <c r="I37" i="18"/>
  <c r="K38" i="16"/>
  <c r="K37" i="18"/>
  <c r="G38" i="16"/>
  <c r="G37" i="18"/>
  <c r="P38" i="16"/>
  <c r="P37" i="18"/>
  <c r="P2" i="18" s="1"/>
  <c r="O38" i="16"/>
  <c r="O37" i="18"/>
  <c r="N38" i="16"/>
  <c r="N37" i="18"/>
  <c r="J38" i="16"/>
  <c r="J37" i="18"/>
  <c r="F38" i="16"/>
  <c r="F37" i="18"/>
  <c r="N44" i="14"/>
  <c r="E40" i="16"/>
  <c r="N58" i="14"/>
  <c r="E39" i="16"/>
  <c r="N54" i="14"/>
  <c r="B43" i="14"/>
  <c r="E38" i="16"/>
  <c r="J43" i="14"/>
  <c r="F43" i="14"/>
  <c r="M43" i="14"/>
  <c r="I43" i="14"/>
  <c r="E43" i="14"/>
  <c r="L43" i="14"/>
  <c r="H43" i="14"/>
  <c r="D43" i="14"/>
  <c r="K43" i="14"/>
  <c r="G43" i="14"/>
  <c r="C43" i="14"/>
  <c r="Q4" i="18" l="1"/>
  <c r="Q39" i="18"/>
  <c r="P5" i="18"/>
  <c r="Q3" i="18"/>
  <c r="Q38" i="18"/>
  <c r="Q37" i="18"/>
  <c r="N43" i="14"/>
  <c r="F37" i="16"/>
  <c r="F37" i="21" s="1"/>
  <c r="G37" i="16"/>
  <c r="G37" i="21" s="1"/>
  <c r="H37" i="16"/>
  <c r="H37" i="21" s="1"/>
  <c r="I37" i="16"/>
  <c r="I37" i="21" s="1"/>
  <c r="J37" i="16"/>
  <c r="J37" i="21" s="1"/>
  <c r="K37" i="16"/>
  <c r="K37" i="21" s="1"/>
  <c r="L37" i="16"/>
  <c r="L37" i="21" s="1"/>
  <c r="M37" i="16"/>
  <c r="M37" i="21" s="1"/>
  <c r="N37" i="16"/>
  <c r="N37" i="21" s="1"/>
  <c r="O37" i="16"/>
  <c r="O37" i="21" s="1"/>
  <c r="E37" i="16"/>
  <c r="E37" i="21" s="1"/>
  <c r="F36" i="16"/>
  <c r="F36" i="21" s="1"/>
  <c r="G36" i="16"/>
  <c r="G36" i="21" s="1"/>
  <c r="H36" i="16"/>
  <c r="H36" i="21" s="1"/>
  <c r="I36" i="16"/>
  <c r="I36" i="21" s="1"/>
  <c r="J36" i="16"/>
  <c r="J36" i="21" s="1"/>
  <c r="K36" i="16"/>
  <c r="K36" i="21" s="1"/>
  <c r="L36" i="16"/>
  <c r="L36" i="21" s="1"/>
  <c r="M36" i="16"/>
  <c r="M36" i="21" s="1"/>
  <c r="N36" i="16"/>
  <c r="N36" i="21" s="1"/>
  <c r="O36" i="16"/>
  <c r="O36" i="21" s="1"/>
  <c r="E36" i="16"/>
  <c r="E36" i="21" s="1"/>
  <c r="E35" i="16"/>
  <c r="E35" i="21" s="1"/>
  <c r="F35" i="16"/>
  <c r="F35" i="21" s="1"/>
  <c r="G35" i="16"/>
  <c r="G35" i="21" s="1"/>
  <c r="H35" i="16"/>
  <c r="H35" i="21" s="1"/>
  <c r="I35" i="16"/>
  <c r="I35" i="21" s="1"/>
  <c r="J35" i="16"/>
  <c r="J35" i="21" s="1"/>
  <c r="K35" i="16"/>
  <c r="K35" i="21" s="1"/>
  <c r="L35" i="16"/>
  <c r="L35" i="21" s="1"/>
  <c r="M35" i="16"/>
  <c r="M35" i="21" s="1"/>
  <c r="N35" i="16"/>
  <c r="N35" i="21" s="1"/>
  <c r="O35" i="16"/>
  <c r="O35" i="21" s="1"/>
  <c r="P34" i="16"/>
  <c r="F34" i="16"/>
  <c r="G34" i="16"/>
  <c r="H34" i="16"/>
  <c r="I34" i="16"/>
  <c r="J34" i="16"/>
  <c r="K34" i="16"/>
  <c r="L34" i="16"/>
  <c r="M34" i="16"/>
  <c r="N34" i="16"/>
  <c r="O34" i="16"/>
  <c r="E34" i="16"/>
  <c r="F33" i="16"/>
  <c r="G33" i="16"/>
  <c r="H33" i="16"/>
  <c r="I33" i="16"/>
  <c r="J33" i="16"/>
  <c r="K33" i="16"/>
  <c r="L33" i="16"/>
  <c r="M33" i="16"/>
  <c r="N33" i="16"/>
  <c r="O33" i="16"/>
  <c r="P33" i="16"/>
  <c r="E33" i="16"/>
  <c r="F32" i="16"/>
  <c r="G32" i="16"/>
  <c r="H32" i="16"/>
  <c r="I32" i="16"/>
  <c r="J32" i="16"/>
  <c r="K32" i="16"/>
  <c r="L32" i="16"/>
  <c r="M32" i="16"/>
  <c r="N32" i="16"/>
  <c r="O32" i="16"/>
  <c r="P32" i="16"/>
  <c r="E32" i="16"/>
  <c r="F31" i="16"/>
  <c r="G31" i="16"/>
  <c r="H31" i="16"/>
  <c r="I31" i="16"/>
  <c r="J31" i="16"/>
  <c r="K31" i="16"/>
  <c r="L31" i="16"/>
  <c r="M31" i="16"/>
  <c r="N31" i="16"/>
  <c r="O31" i="16"/>
  <c r="P31" i="16"/>
  <c r="E31" i="16"/>
  <c r="F30" i="16"/>
  <c r="G30" i="16"/>
  <c r="H30" i="16"/>
  <c r="I30" i="16"/>
  <c r="J30" i="16"/>
  <c r="K30" i="16"/>
  <c r="L30" i="16"/>
  <c r="M30" i="16"/>
  <c r="N30" i="16"/>
  <c r="O30" i="16"/>
  <c r="P30" i="16"/>
  <c r="E30" i="16"/>
  <c r="F29" i="16"/>
  <c r="G29" i="16"/>
  <c r="H29" i="16"/>
  <c r="I29" i="16"/>
  <c r="J29" i="16"/>
  <c r="K29" i="16"/>
  <c r="L29" i="16"/>
  <c r="M29" i="16"/>
  <c r="N29" i="16"/>
  <c r="O29" i="16"/>
  <c r="P29" i="16"/>
  <c r="E29" i="16"/>
  <c r="F28" i="16"/>
  <c r="F28" i="21" s="1"/>
  <c r="G28" i="16"/>
  <c r="G28" i="21" s="1"/>
  <c r="H28" i="16"/>
  <c r="H28" i="21" s="1"/>
  <c r="I28" i="16"/>
  <c r="I28" i="21" s="1"/>
  <c r="J28" i="16"/>
  <c r="J28" i="21" s="1"/>
  <c r="K28" i="16"/>
  <c r="K28" i="21" s="1"/>
  <c r="L28" i="16"/>
  <c r="L28" i="21" s="1"/>
  <c r="M28" i="16"/>
  <c r="M28" i="21" s="1"/>
  <c r="N28" i="16"/>
  <c r="N28" i="21" s="1"/>
  <c r="O28" i="16"/>
  <c r="O28" i="21" s="1"/>
  <c r="P28" i="16"/>
  <c r="P28" i="21" s="1"/>
  <c r="E28" i="16"/>
  <c r="E28" i="21" s="1"/>
  <c r="F27" i="16"/>
  <c r="F27" i="21" s="1"/>
  <c r="G27" i="16"/>
  <c r="G27" i="21" s="1"/>
  <c r="H27" i="16"/>
  <c r="H27" i="21" s="1"/>
  <c r="I27" i="16"/>
  <c r="I27" i="21" s="1"/>
  <c r="J27" i="16"/>
  <c r="J27" i="21" s="1"/>
  <c r="K27" i="16"/>
  <c r="K27" i="21" s="1"/>
  <c r="L27" i="16"/>
  <c r="L27" i="21" s="1"/>
  <c r="M27" i="16"/>
  <c r="M27" i="21" s="1"/>
  <c r="N27" i="16"/>
  <c r="N27" i="21" s="1"/>
  <c r="O27" i="16"/>
  <c r="O27" i="21" s="1"/>
  <c r="P27" i="16"/>
  <c r="P27" i="21" s="1"/>
  <c r="E27" i="16"/>
  <c r="E27" i="21" s="1"/>
  <c r="F26" i="16"/>
  <c r="F26" i="21" s="1"/>
  <c r="G26" i="16"/>
  <c r="G26" i="21" s="1"/>
  <c r="H26" i="16"/>
  <c r="H26" i="21" s="1"/>
  <c r="I26" i="16"/>
  <c r="I26" i="21" s="1"/>
  <c r="J26" i="16"/>
  <c r="J26" i="21" s="1"/>
  <c r="K26" i="16"/>
  <c r="K26" i="21" s="1"/>
  <c r="L26" i="16"/>
  <c r="L26" i="21" s="1"/>
  <c r="M26" i="16"/>
  <c r="M26" i="21" s="1"/>
  <c r="N26" i="16"/>
  <c r="N26" i="21" s="1"/>
  <c r="O26" i="16"/>
  <c r="O26" i="21" s="1"/>
  <c r="P26" i="16"/>
  <c r="P26" i="21" s="1"/>
  <c r="E26" i="16"/>
  <c r="E26" i="21" s="1"/>
  <c r="F25" i="16"/>
  <c r="G25" i="16"/>
  <c r="H25" i="16"/>
  <c r="I25" i="16"/>
  <c r="J25" i="16"/>
  <c r="K25" i="16"/>
  <c r="L25" i="16"/>
  <c r="M25" i="16"/>
  <c r="N25" i="16"/>
  <c r="O25" i="16"/>
  <c r="P25" i="16"/>
  <c r="E25" i="16"/>
  <c r="F24" i="16"/>
  <c r="G24" i="16"/>
  <c r="H24" i="16"/>
  <c r="I24" i="16"/>
  <c r="J24" i="16"/>
  <c r="K24" i="16"/>
  <c r="L24" i="16"/>
  <c r="M24" i="16"/>
  <c r="N24" i="16"/>
  <c r="O24" i="16"/>
  <c r="P24" i="16"/>
  <c r="E24" i="16"/>
  <c r="F23" i="16"/>
  <c r="G23" i="16"/>
  <c r="H23" i="16"/>
  <c r="I23" i="16"/>
  <c r="J23" i="16"/>
  <c r="K23" i="16"/>
  <c r="L23" i="16"/>
  <c r="M23" i="16"/>
  <c r="N23" i="16"/>
  <c r="O23" i="16"/>
  <c r="P23" i="16"/>
  <c r="E23" i="16"/>
  <c r="F22" i="16"/>
  <c r="F22" i="21" s="1"/>
  <c r="G22" i="16"/>
  <c r="G22" i="21" s="1"/>
  <c r="H22" i="16"/>
  <c r="H22" i="21" s="1"/>
  <c r="I22" i="16"/>
  <c r="I22" i="21" s="1"/>
  <c r="J22" i="16"/>
  <c r="J22" i="21" s="1"/>
  <c r="K22" i="16"/>
  <c r="K22" i="21" s="1"/>
  <c r="L22" i="16"/>
  <c r="L22" i="21" s="1"/>
  <c r="M22" i="16"/>
  <c r="M22" i="21" s="1"/>
  <c r="N22" i="16"/>
  <c r="N22" i="21" s="1"/>
  <c r="O22" i="16"/>
  <c r="O22" i="21" s="1"/>
  <c r="P22" i="16"/>
  <c r="P22" i="21" s="1"/>
  <c r="E22" i="16"/>
  <c r="E22" i="21" s="1"/>
  <c r="F21" i="16"/>
  <c r="F21" i="21" s="1"/>
  <c r="G21" i="16"/>
  <c r="G21" i="21" s="1"/>
  <c r="H21" i="16"/>
  <c r="H21" i="21" s="1"/>
  <c r="I21" i="16"/>
  <c r="I21" i="21" s="1"/>
  <c r="J21" i="16"/>
  <c r="J21" i="21" s="1"/>
  <c r="K21" i="16"/>
  <c r="K21" i="21" s="1"/>
  <c r="L21" i="16"/>
  <c r="L21" i="21" s="1"/>
  <c r="M21" i="16"/>
  <c r="M21" i="21" s="1"/>
  <c r="N21" i="16"/>
  <c r="N21" i="21" s="1"/>
  <c r="O21" i="16"/>
  <c r="O21" i="21" s="1"/>
  <c r="P21" i="16"/>
  <c r="P21" i="21" s="1"/>
  <c r="E21" i="16"/>
  <c r="E21" i="21" s="1"/>
  <c r="F20" i="16"/>
  <c r="G20" i="16"/>
  <c r="H20" i="16"/>
  <c r="I20" i="16"/>
  <c r="J20" i="16"/>
  <c r="K20" i="16"/>
  <c r="L20" i="16"/>
  <c r="M20" i="16"/>
  <c r="N20" i="16"/>
  <c r="O20" i="16"/>
  <c r="E20" i="16"/>
  <c r="F19" i="16"/>
  <c r="G19" i="16"/>
  <c r="H19" i="16"/>
  <c r="I19" i="16"/>
  <c r="J19" i="16"/>
  <c r="K19" i="16"/>
  <c r="L19" i="16"/>
  <c r="M19" i="16"/>
  <c r="N19" i="16"/>
  <c r="O19" i="16"/>
  <c r="P19" i="16"/>
  <c r="E19" i="16"/>
  <c r="P18" i="16"/>
  <c r="E18" i="16"/>
  <c r="F17" i="16"/>
  <c r="G17" i="16"/>
  <c r="H17" i="16"/>
  <c r="I17" i="16"/>
  <c r="J17" i="16"/>
  <c r="K17" i="16"/>
  <c r="L17" i="16"/>
  <c r="M17" i="16"/>
  <c r="N17" i="16"/>
  <c r="O17" i="16"/>
  <c r="P17" i="16"/>
  <c r="E17" i="16"/>
  <c r="F16" i="16"/>
  <c r="G16" i="16"/>
  <c r="H16" i="16"/>
  <c r="I16" i="16"/>
  <c r="J16" i="16"/>
  <c r="K16" i="16"/>
  <c r="L16" i="16"/>
  <c r="M16" i="16"/>
  <c r="N16" i="16"/>
  <c r="O16" i="16"/>
  <c r="P16" i="16"/>
  <c r="E16" i="16"/>
  <c r="F11" i="16"/>
  <c r="G11" i="16"/>
  <c r="H11" i="16"/>
  <c r="I11" i="16"/>
  <c r="J11" i="16"/>
  <c r="K11" i="16"/>
  <c r="L11" i="16"/>
  <c r="M11" i="16"/>
  <c r="N11" i="16"/>
  <c r="O11" i="16"/>
  <c r="P11" i="16"/>
  <c r="E11" i="16"/>
  <c r="F10" i="16"/>
  <c r="F10" i="21" s="1"/>
  <c r="G10" i="16"/>
  <c r="G10" i="21" s="1"/>
  <c r="H10" i="16"/>
  <c r="H10" i="21" s="1"/>
  <c r="I10" i="16"/>
  <c r="I10" i="21" s="1"/>
  <c r="J10" i="16"/>
  <c r="J10" i="21" s="1"/>
  <c r="K10" i="16"/>
  <c r="K10" i="21" s="1"/>
  <c r="L10" i="16"/>
  <c r="L10" i="21" s="1"/>
  <c r="M10" i="16"/>
  <c r="M10" i="21" s="1"/>
  <c r="N10" i="16"/>
  <c r="N10" i="21" s="1"/>
  <c r="O10" i="16"/>
  <c r="O10" i="21" s="1"/>
  <c r="P10" i="16"/>
  <c r="P10" i="21" s="1"/>
  <c r="E10" i="16"/>
  <c r="E10" i="21" s="1"/>
  <c r="F9" i="16"/>
  <c r="F9" i="21" s="1"/>
  <c r="G9" i="16"/>
  <c r="G9" i="21" s="1"/>
  <c r="H9" i="16"/>
  <c r="H9" i="21" s="1"/>
  <c r="I9" i="16"/>
  <c r="I9" i="21" s="1"/>
  <c r="J9" i="16"/>
  <c r="J9" i="21" s="1"/>
  <c r="K9" i="16"/>
  <c r="K9" i="21" s="1"/>
  <c r="L9" i="16"/>
  <c r="L9" i="21" s="1"/>
  <c r="M9" i="16"/>
  <c r="M9" i="21" s="1"/>
  <c r="N9" i="16"/>
  <c r="N9" i="21" s="1"/>
  <c r="O9" i="16"/>
  <c r="O9" i="21" s="1"/>
  <c r="P9" i="16"/>
  <c r="P9" i="21" s="1"/>
  <c r="E9" i="16"/>
  <c r="E9" i="21" s="1"/>
  <c r="G8" i="16"/>
  <c r="G8" i="21" s="1"/>
  <c r="H8" i="16"/>
  <c r="H8" i="21" s="1"/>
  <c r="I8" i="16"/>
  <c r="I8" i="21" s="1"/>
  <c r="J8" i="16"/>
  <c r="J8" i="21" s="1"/>
  <c r="K8" i="16"/>
  <c r="K8" i="21" s="1"/>
  <c r="L8" i="16"/>
  <c r="L8" i="21" s="1"/>
  <c r="M8" i="16"/>
  <c r="M8" i="21" s="1"/>
  <c r="N8" i="16"/>
  <c r="N8" i="21" s="1"/>
  <c r="O8" i="16"/>
  <c r="O8" i="21" s="1"/>
  <c r="P8" i="16"/>
  <c r="P8" i="21" s="1"/>
  <c r="B33" i="14"/>
  <c r="C40" i="14"/>
  <c r="B40" i="14"/>
  <c r="E8" i="18" s="1"/>
  <c r="D39" i="14"/>
  <c r="E39" i="14"/>
  <c r="F39" i="14"/>
  <c r="G39" i="14"/>
  <c r="H39" i="14"/>
  <c r="I39" i="14"/>
  <c r="J39" i="14"/>
  <c r="K39" i="14"/>
  <c r="L39" i="14"/>
  <c r="M39" i="14"/>
  <c r="L67" i="14"/>
  <c r="K67" i="14"/>
  <c r="J67" i="14"/>
  <c r="I67" i="14"/>
  <c r="H67" i="14"/>
  <c r="G67" i="14"/>
  <c r="F67" i="14"/>
  <c r="E67" i="14"/>
  <c r="D67" i="14"/>
  <c r="C67" i="14"/>
  <c r="F17" i="18" s="1"/>
  <c r="C29" i="14"/>
  <c r="D29" i="14"/>
  <c r="E29" i="14"/>
  <c r="F29" i="14"/>
  <c r="G29" i="14"/>
  <c r="H29" i="14"/>
  <c r="I29" i="14"/>
  <c r="J29" i="14"/>
  <c r="K29" i="14"/>
  <c r="L29" i="14"/>
  <c r="M29" i="14"/>
  <c r="B29" i="14"/>
  <c r="C16" i="14"/>
  <c r="D16" i="14"/>
  <c r="E16" i="14"/>
  <c r="F16" i="14"/>
  <c r="G16" i="14"/>
  <c r="H16" i="14"/>
  <c r="I16" i="14"/>
  <c r="J16" i="14"/>
  <c r="K16" i="14"/>
  <c r="L16" i="14"/>
  <c r="M16" i="14"/>
  <c r="B16" i="14"/>
  <c r="C5" i="14"/>
  <c r="D5" i="14"/>
  <c r="E5" i="14"/>
  <c r="F5" i="14"/>
  <c r="G5" i="14"/>
  <c r="H5" i="14"/>
  <c r="I5" i="14"/>
  <c r="J5" i="14"/>
  <c r="K5" i="14"/>
  <c r="L5" i="14"/>
  <c r="B5" i="14"/>
  <c r="P20" i="16"/>
  <c r="J18" i="16" l="1"/>
  <c r="J17" i="18"/>
  <c r="J2" i="18" s="1"/>
  <c r="J5" i="18" s="1"/>
  <c r="N18" i="16"/>
  <c r="N2" i="16" s="1"/>
  <c r="N17" i="18"/>
  <c r="N2" i="18" s="1"/>
  <c r="N5" i="18" s="1"/>
  <c r="E2" i="18"/>
  <c r="G18" i="16"/>
  <c r="G2" i="16" s="1"/>
  <c r="G17" i="18"/>
  <c r="G2" i="18" s="1"/>
  <c r="G5" i="18" s="1"/>
  <c r="K18" i="16"/>
  <c r="K2" i="16" s="1"/>
  <c r="K17" i="18"/>
  <c r="K2" i="18" s="1"/>
  <c r="K5" i="18" s="1"/>
  <c r="O18" i="16"/>
  <c r="O2" i="16" s="1"/>
  <c r="O17" i="18"/>
  <c r="O2" i="18" s="1"/>
  <c r="O5" i="18" s="1"/>
  <c r="C39" i="14"/>
  <c r="F8" i="18"/>
  <c r="F2" i="18" s="1"/>
  <c r="F5" i="18" s="1"/>
  <c r="H18" i="16"/>
  <c r="H2" i="16" s="1"/>
  <c r="H17" i="18"/>
  <c r="H2" i="18" s="1"/>
  <c r="H5" i="18" s="1"/>
  <c r="L18" i="16"/>
  <c r="L2" i="16" s="1"/>
  <c r="L17" i="18"/>
  <c r="L2" i="18" s="1"/>
  <c r="L5" i="18" s="1"/>
  <c r="I18" i="16"/>
  <c r="I2" i="16" s="1"/>
  <c r="I17" i="18"/>
  <c r="I2" i="18" s="1"/>
  <c r="I5" i="18" s="1"/>
  <c r="M18" i="16"/>
  <c r="M2" i="16" s="1"/>
  <c r="M17" i="18"/>
  <c r="M2" i="18" s="1"/>
  <c r="M5" i="18" s="1"/>
  <c r="L4" i="16"/>
  <c r="B39" i="14"/>
  <c r="N40" i="14"/>
  <c r="F18" i="16"/>
  <c r="N67" i="14"/>
  <c r="J3" i="16"/>
  <c r="N4" i="16"/>
  <c r="N29" i="14"/>
  <c r="N16" i="14"/>
  <c r="H3" i="16"/>
  <c r="P3" i="16"/>
  <c r="F4" i="16"/>
  <c r="E3" i="16"/>
  <c r="I3" i="16"/>
  <c r="M4" i="16"/>
  <c r="G3" i="16"/>
  <c r="J4" i="16"/>
  <c r="N5" i="14"/>
  <c r="J2" i="16"/>
  <c r="M3" i="16"/>
  <c r="E4" i="16"/>
  <c r="I4" i="16"/>
  <c r="K4" i="16"/>
  <c r="F3" i="16"/>
  <c r="L3" i="16"/>
  <c r="P4" i="16"/>
  <c r="H4" i="16"/>
  <c r="O3" i="16"/>
  <c r="N3" i="16"/>
  <c r="P2" i="16"/>
  <c r="K3" i="16"/>
  <c r="O4" i="16"/>
  <c r="G4" i="16"/>
  <c r="Q9" i="16"/>
  <c r="Q9" i="21" s="1"/>
  <c r="Q36" i="16"/>
  <c r="Q36" i="21" s="1"/>
  <c r="F8" i="16"/>
  <c r="Q21" i="16"/>
  <c r="Q21" i="21" s="1"/>
  <c r="Q22" i="16"/>
  <c r="Q22" i="21" s="1"/>
  <c r="Q25" i="16"/>
  <c r="Q26" i="16"/>
  <c r="Q26" i="21" s="1"/>
  <c r="Q27" i="16"/>
  <c r="Q27" i="21" s="1"/>
  <c r="Q28" i="16"/>
  <c r="Q28" i="21" s="1"/>
  <c r="Q35" i="16"/>
  <c r="Q35" i="21" s="1"/>
  <c r="E8" i="16"/>
  <c r="Q10" i="16"/>
  <c r="Q10" i="21" s="1"/>
  <c r="Q23" i="16"/>
  <c r="Q37" i="16"/>
  <c r="Q37" i="21" s="1"/>
  <c r="Q34" i="16"/>
  <c r="Q33" i="16"/>
  <c r="Q17" i="16"/>
  <c r="Q32" i="16"/>
  <c r="Q38" i="16"/>
  <c r="Q16" i="16"/>
  <c r="Q20" i="16"/>
  <c r="Q19" i="16"/>
  <c r="Q24" i="16"/>
  <c r="Q39" i="16"/>
  <c r="Q40" i="16"/>
  <c r="Q13" i="16"/>
  <c r="Q12" i="16"/>
  <c r="E2" i="16" l="1"/>
  <c r="E5" i="16" s="1"/>
  <c r="E8" i="21"/>
  <c r="F2" i="16"/>
  <c r="F5" i="16" s="1"/>
  <c r="F8" i="21"/>
  <c r="N39" i="14"/>
  <c r="Q18" i="16"/>
  <c r="E5" i="18"/>
  <c r="Q5" i="18" s="1"/>
  <c r="Q2" i="18"/>
  <c r="Q8" i="18"/>
  <c r="Q17" i="18"/>
  <c r="L5" i="16"/>
  <c r="O5" i="16"/>
  <c r="G5" i="16"/>
  <c r="M5" i="16"/>
  <c r="N5" i="16"/>
  <c r="J5" i="16"/>
  <c r="K5" i="16"/>
  <c r="Q4" i="16"/>
  <c r="Q3" i="16"/>
  <c r="H5" i="16"/>
  <c r="P5" i="16"/>
  <c r="I5" i="16"/>
  <c r="Q8" i="16"/>
  <c r="Q8" i="21" s="1"/>
  <c r="P40" i="15"/>
  <c r="O40" i="15"/>
  <c r="N40" i="15"/>
  <c r="M40" i="15"/>
  <c r="L40" i="15"/>
  <c r="K40" i="15"/>
  <c r="K40" i="21" s="1"/>
  <c r="J40" i="15"/>
  <c r="J40" i="21" s="1"/>
  <c r="I40" i="15"/>
  <c r="I40" i="21" s="1"/>
  <c r="H40" i="15"/>
  <c r="H40" i="21" s="1"/>
  <c r="G40" i="15"/>
  <c r="G40" i="21" s="1"/>
  <c r="F40" i="15"/>
  <c r="F40" i="21" s="1"/>
  <c r="E40" i="15"/>
  <c r="E40" i="21" s="1"/>
  <c r="P39" i="15"/>
  <c r="O39" i="15"/>
  <c r="N39" i="15"/>
  <c r="M39" i="15"/>
  <c r="L39" i="15"/>
  <c r="K39" i="15"/>
  <c r="K39" i="21" s="1"/>
  <c r="J39" i="15"/>
  <c r="J39" i="21" s="1"/>
  <c r="I39" i="15"/>
  <c r="I39" i="21" s="1"/>
  <c r="H39" i="15"/>
  <c r="H39" i="21" s="1"/>
  <c r="G39" i="15"/>
  <c r="G39" i="21" s="1"/>
  <c r="F39" i="15"/>
  <c r="F39" i="21" s="1"/>
  <c r="E39" i="15"/>
  <c r="E39" i="21" s="1"/>
  <c r="P38" i="15"/>
  <c r="O38" i="15"/>
  <c r="N38" i="15"/>
  <c r="M38" i="15"/>
  <c r="L38" i="15"/>
  <c r="K38" i="15"/>
  <c r="J38" i="15"/>
  <c r="I38" i="15"/>
  <c r="H38" i="15"/>
  <c r="G38" i="15"/>
  <c r="F38" i="15"/>
  <c r="E38" i="15"/>
  <c r="P34" i="15"/>
  <c r="O34" i="15"/>
  <c r="N34" i="15"/>
  <c r="M34" i="15"/>
  <c r="L34" i="15"/>
  <c r="K34" i="15"/>
  <c r="J34" i="15"/>
  <c r="I34" i="15"/>
  <c r="I34" i="21" s="1"/>
  <c r="H34" i="15"/>
  <c r="H34" i="21" s="1"/>
  <c r="G34" i="15"/>
  <c r="G34" i="21" s="1"/>
  <c r="F34" i="15"/>
  <c r="F34" i="21" s="1"/>
  <c r="E34" i="15"/>
  <c r="E34" i="21" s="1"/>
  <c r="P33" i="15"/>
  <c r="O33" i="15"/>
  <c r="N33" i="15"/>
  <c r="M33" i="15"/>
  <c r="L33" i="15"/>
  <c r="K33" i="15"/>
  <c r="J33" i="15"/>
  <c r="I33" i="15"/>
  <c r="I33" i="21" s="1"/>
  <c r="H33" i="15"/>
  <c r="H33" i="21" s="1"/>
  <c r="G33" i="15"/>
  <c r="G33" i="21" s="1"/>
  <c r="F33" i="15"/>
  <c r="F33" i="21" s="1"/>
  <c r="E33" i="15"/>
  <c r="E33" i="21" s="1"/>
  <c r="P32" i="15"/>
  <c r="O32" i="15"/>
  <c r="N32" i="15"/>
  <c r="M32" i="15"/>
  <c r="L32" i="15"/>
  <c r="K32" i="15"/>
  <c r="J32" i="15"/>
  <c r="I32" i="15"/>
  <c r="I32" i="21" s="1"/>
  <c r="H32" i="15"/>
  <c r="H32" i="21" s="1"/>
  <c r="G32" i="15"/>
  <c r="G32" i="21" s="1"/>
  <c r="F32" i="15"/>
  <c r="F32" i="21" s="1"/>
  <c r="E32" i="15"/>
  <c r="E32" i="21" s="1"/>
  <c r="P31" i="15"/>
  <c r="O31" i="15"/>
  <c r="N31" i="15"/>
  <c r="M31" i="15"/>
  <c r="L31" i="15"/>
  <c r="J31" i="15"/>
  <c r="P30" i="15"/>
  <c r="O30" i="15"/>
  <c r="N30" i="15"/>
  <c r="M30" i="15"/>
  <c r="L30" i="15"/>
  <c r="J30" i="15"/>
  <c r="P29" i="15"/>
  <c r="O29" i="15"/>
  <c r="N29" i="15"/>
  <c r="M29" i="15"/>
  <c r="L29" i="15"/>
  <c r="J29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P13" i="15"/>
  <c r="O13" i="15"/>
  <c r="N13" i="15"/>
  <c r="M13" i="15"/>
  <c r="L13" i="15"/>
  <c r="K13" i="15"/>
  <c r="J13" i="15"/>
  <c r="I13" i="15"/>
  <c r="H13" i="15"/>
  <c r="G13" i="15"/>
  <c r="G13" i="21" s="1"/>
  <c r="F13" i="15"/>
  <c r="F13" i="21" s="1"/>
  <c r="E13" i="15"/>
  <c r="P12" i="15"/>
  <c r="O12" i="15"/>
  <c r="N12" i="15"/>
  <c r="M12" i="15"/>
  <c r="L12" i="15"/>
  <c r="K12" i="15"/>
  <c r="J12" i="15"/>
  <c r="I12" i="15"/>
  <c r="H12" i="15"/>
  <c r="G12" i="15"/>
  <c r="G12" i="21" s="1"/>
  <c r="F12" i="15"/>
  <c r="F12" i="21" s="1"/>
  <c r="E12" i="15"/>
  <c r="P11" i="15"/>
  <c r="O11" i="15"/>
  <c r="N11" i="15"/>
  <c r="M11" i="15"/>
  <c r="L11" i="15"/>
  <c r="K11" i="15"/>
  <c r="J11" i="15"/>
  <c r="G11" i="15"/>
  <c r="F11" i="15"/>
  <c r="E11" i="15"/>
  <c r="Q2" i="16" l="1"/>
  <c r="P12" i="17"/>
  <c r="N11" i="21"/>
  <c r="M12" i="17"/>
  <c r="K11" i="21"/>
  <c r="I12" i="17"/>
  <c r="G11" i="21"/>
  <c r="O12" i="17"/>
  <c r="M11" i="21"/>
  <c r="G16" i="17"/>
  <c r="E16" i="21"/>
  <c r="K16" i="17"/>
  <c r="I16" i="21"/>
  <c r="O16" i="17"/>
  <c r="M16" i="21"/>
  <c r="F17" i="17"/>
  <c r="E17" i="21"/>
  <c r="J17" i="17"/>
  <c r="I17" i="21"/>
  <c r="N17" i="17"/>
  <c r="M17" i="21"/>
  <c r="I38" i="17"/>
  <c r="G38" i="21"/>
  <c r="M38" i="17"/>
  <c r="K38" i="21"/>
  <c r="R38" i="17"/>
  <c r="O38" i="21"/>
  <c r="P39" i="17"/>
  <c r="O39" i="21"/>
  <c r="P40" i="17"/>
  <c r="O40" i="21"/>
  <c r="L12" i="17"/>
  <c r="J11" i="21"/>
  <c r="H16" i="17"/>
  <c r="F16" i="21"/>
  <c r="L16" i="17"/>
  <c r="J16" i="21"/>
  <c r="P16" i="17"/>
  <c r="N16" i="21"/>
  <c r="G17" i="17"/>
  <c r="F17" i="21"/>
  <c r="K17" i="17"/>
  <c r="J17" i="21"/>
  <c r="O17" i="17"/>
  <c r="N17" i="21"/>
  <c r="J38" i="17"/>
  <c r="H38" i="21"/>
  <c r="N38" i="17"/>
  <c r="L38" i="21"/>
  <c r="S38" i="17"/>
  <c r="P38" i="21"/>
  <c r="M39" i="17"/>
  <c r="L39" i="21"/>
  <c r="R39" i="17"/>
  <c r="AD39" i="17" s="1"/>
  <c r="P39" i="21"/>
  <c r="M40" i="17"/>
  <c r="L40" i="21"/>
  <c r="R40" i="17"/>
  <c r="AD40" i="17" s="1"/>
  <c r="P40" i="21"/>
  <c r="I16" i="17"/>
  <c r="G16" i="21"/>
  <c r="M16" i="17"/>
  <c r="K16" i="21"/>
  <c r="R16" i="17"/>
  <c r="O16" i="21"/>
  <c r="H17" i="17"/>
  <c r="G17" i="21"/>
  <c r="L17" i="17"/>
  <c r="K17" i="21"/>
  <c r="P17" i="17"/>
  <c r="O17" i="21"/>
  <c r="G38" i="17"/>
  <c r="E38" i="21"/>
  <c r="K38" i="17"/>
  <c r="I38" i="21"/>
  <c r="O38" i="17"/>
  <c r="M38" i="21"/>
  <c r="N39" i="17"/>
  <c r="M39" i="21"/>
  <c r="N40" i="17"/>
  <c r="M40" i="21"/>
  <c r="G12" i="17"/>
  <c r="E11" i="21"/>
  <c r="R12" i="17"/>
  <c r="O11" i="21"/>
  <c r="H12" i="17"/>
  <c r="F11" i="21"/>
  <c r="N12" i="17"/>
  <c r="L11" i="21"/>
  <c r="S12" i="17"/>
  <c r="P11" i="21"/>
  <c r="J16" i="17"/>
  <c r="H16" i="21"/>
  <c r="N16" i="17"/>
  <c r="L16" i="21"/>
  <c r="S16" i="17"/>
  <c r="P16" i="21"/>
  <c r="I17" i="17"/>
  <c r="H17" i="21"/>
  <c r="M17" i="17"/>
  <c r="L17" i="21"/>
  <c r="R17" i="17"/>
  <c r="AD17" i="17" s="1"/>
  <c r="P17" i="21"/>
  <c r="H38" i="17"/>
  <c r="F38" i="21"/>
  <c r="L38" i="17"/>
  <c r="J38" i="21"/>
  <c r="P38" i="17"/>
  <c r="N38" i="21"/>
  <c r="O39" i="17"/>
  <c r="N39" i="21"/>
  <c r="O40" i="17"/>
  <c r="N40" i="21"/>
  <c r="G18" i="17"/>
  <c r="E18" i="21"/>
  <c r="O18" i="17"/>
  <c r="M18" i="21"/>
  <c r="O19" i="17"/>
  <c r="M19" i="21"/>
  <c r="G20" i="17"/>
  <c r="E20" i="21"/>
  <c r="K20" i="17"/>
  <c r="I20" i="21"/>
  <c r="O20" i="17"/>
  <c r="M20" i="21"/>
  <c r="K18" i="17"/>
  <c r="I18" i="21"/>
  <c r="P18" i="17"/>
  <c r="N18" i="21"/>
  <c r="P20" i="17"/>
  <c r="N20" i="21"/>
  <c r="K19" i="17"/>
  <c r="I19" i="21"/>
  <c r="L18" i="17"/>
  <c r="J18" i="21"/>
  <c r="H19" i="17"/>
  <c r="F19" i="21"/>
  <c r="P19" i="17"/>
  <c r="N19" i="21"/>
  <c r="L20" i="17"/>
  <c r="J20" i="21"/>
  <c r="M18" i="17"/>
  <c r="K18" i="21"/>
  <c r="R18" i="17"/>
  <c r="O18" i="21"/>
  <c r="I19" i="17"/>
  <c r="G19" i="21"/>
  <c r="M19" i="17"/>
  <c r="K19" i="21"/>
  <c r="R19" i="17"/>
  <c r="O19" i="21"/>
  <c r="I20" i="17"/>
  <c r="G20" i="21"/>
  <c r="M20" i="17"/>
  <c r="K20" i="21"/>
  <c r="R20" i="17"/>
  <c r="O20" i="21"/>
  <c r="G19" i="17"/>
  <c r="E19" i="21"/>
  <c r="H18" i="17"/>
  <c r="F18" i="21"/>
  <c r="L19" i="17"/>
  <c r="J19" i="21"/>
  <c r="H20" i="17"/>
  <c r="F20" i="21"/>
  <c r="I18" i="17"/>
  <c r="G18" i="21"/>
  <c r="J18" i="17"/>
  <c r="H18" i="21"/>
  <c r="N18" i="17"/>
  <c r="L18" i="21"/>
  <c r="S18" i="17"/>
  <c r="P18" i="21"/>
  <c r="J19" i="17"/>
  <c r="H19" i="21"/>
  <c r="N19" i="17"/>
  <c r="L19" i="21"/>
  <c r="S19" i="17"/>
  <c r="P19" i="21"/>
  <c r="J20" i="17"/>
  <c r="H20" i="21"/>
  <c r="N20" i="17"/>
  <c r="L20" i="21"/>
  <c r="S20" i="17"/>
  <c r="P20" i="21"/>
  <c r="G23" i="17"/>
  <c r="F23" i="21"/>
  <c r="G24" i="17"/>
  <c r="F24" i="21"/>
  <c r="F23" i="17"/>
  <c r="E23" i="21"/>
  <c r="J23" i="17"/>
  <c r="I23" i="21"/>
  <c r="N23" i="17"/>
  <c r="M23" i="21"/>
  <c r="F24" i="17"/>
  <c r="E24" i="21"/>
  <c r="J24" i="17"/>
  <c r="I24" i="21"/>
  <c r="N24" i="17"/>
  <c r="M24" i="21"/>
  <c r="F25" i="17"/>
  <c r="E25" i="21"/>
  <c r="J25" i="17"/>
  <c r="I25" i="21"/>
  <c r="N25" i="17"/>
  <c r="M25" i="21"/>
  <c r="O24" i="17"/>
  <c r="N24" i="21"/>
  <c r="G25" i="17"/>
  <c r="F25" i="21"/>
  <c r="K25" i="17"/>
  <c r="J25" i="21"/>
  <c r="O25" i="17"/>
  <c r="N25" i="21"/>
  <c r="K24" i="17"/>
  <c r="J24" i="21"/>
  <c r="H23" i="17"/>
  <c r="G23" i="21"/>
  <c r="L23" i="17"/>
  <c r="K23" i="21"/>
  <c r="P23" i="17"/>
  <c r="O23" i="21"/>
  <c r="H24" i="17"/>
  <c r="G24" i="21"/>
  <c r="L24" i="17"/>
  <c r="K24" i="21"/>
  <c r="P24" i="17"/>
  <c r="O24" i="21"/>
  <c r="H25" i="17"/>
  <c r="G25" i="21"/>
  <c r="L25" i="17"/>
  <c r="K25" i="21"/>
  <c r="P25" i="17"/>
  <c r="O25" i="21"/>
  <c r="K23" i="17"/>
  <c r="J23" i="21"/>
  <c r="O23" i="17"/>
  <c r="N23" i="21"/>
  <c r="I23" i="17"/>
  <c r="H23" i="21"/>
  <c r="M23" i="17"/>
  <c r="L23" i="21"/>
  <c r="R23" i="17"/>
  <c r="AD23" i="17" s="1"/>
  <c r="P23" i="21"/>
  <c r="I24" i="17"/>
  <c r="H24" i="21"/>
  <c r="M24" i="17"/>
  <c r="L24" i="21"/>
  <c r="R24" i="17"/>
  <c r="AD24" i="17" s="1"/>
  <c r="P24" i="21"/>
  <c r="I25" i="17"/>
  <c r="H25" i="21"/>
  <c r="M25" i="17"/>
  <c r="L25" i="21"/>
  <c r="R25" i="17"/>
  <c r="AD25" i="17" s="1"/>
  <c r="P25" i="21"/>
  <c r="K13" i="17"/>
  <c r="I12" i="21"/>
  <c r="H14" i="17"/>
  <c r="E13" i="21"/>
  <c r="O14" i="17"/>
  <c r="M13" i="21"/>
  <c r="L13" i="17"/>
  <c r="J12" i="21"/>
  <c r="P13" i="17"/>
  <c r="N12" i="21"/>
  <c r="L14" i="17"/>
  <c r="J13" i="21"/>
  <c r="R13" i="17"/>
  <c r="O12" i="21"/>
  <c r="M14" i="17"/>
  <c r="K13" i="21"/>
  <c r="R14" i="17"/>
  <c r="O13" i="21"/>
  <c r="H13" i="17"/>
  <c r="E12" i="21"/>
  <c r="O13" i="17"/>
  <c r="M12" i="21"/>
  <c r="K14" i="17"/>
  <c r="I13" i="21"/>
  <c r="P14" i="17"/>
  <c r="N13" i="21"/>
  <c r="M13" i="17"/>
  <c r="K12" i="21"/>
  <c r="J13" i="17"/>
  <c r="H12" i="21"/>
  <c r="N13" i="17"/>
  <c r="L12" i="21"/>
  <c r="S13" i="17"/>
  <c r="P12" i="21"/>
  <c r="J14" i="17"/>
  <c r="H13" i="21"/>
  <c r="N14" i="17"/>
  <c r="L13" i="21"/>
  <c r="S14" i="17"/>
  <c r="P13" i="21"/>
  <c r="K29" i="17"/>
  <c r="J29" i="21"/>
  <c r="P29" i="17"/>
  <c r="O29" i="21"/>
  <c r="N30" i="17"/>
  <c r="M30" i="21"/>
  <c r="K31" i="17"/>
  <c r="K5" i="17" s="1"/>
  <c r="J31" i="21"/>
  <c r="P31" i="17"/>
  <c r="O31" i="21"/>
  <c r="M29" i="17"/>
  <c r="L29" i="21"/>
  <c r="R29" i="17"/>
  <c r="AD29" i="17" s="1"/>
  <c r="P29" i="21"/>
  <c r="O30" i="17"/>
  <c r="N30" i="21"/>
  <c r="M31" i="17"/>
  <c r="L31" i="21"/>
  <c r="R31" i="17"/>
  <c r="AD31" i="17" s="1"/>
  <c r="P31" i="21"/>
  <c r="N29" i="17"/>
  <c r="M29" i="21"/>
  <c r="K30" i="17"/>
  <c r="J30" i="21"/>
  <c r="P30" i="17"/>
  <c r="O30" i="21"/>
  <c r="N31" i="17"/>
  <c r="M31" i="21"/>
  <c r="O29" i="17"/>
  <c r="N29" i="21"/>
  <c r="M30" i="17"/>
  <c r="L30" i="21"/>
  <c r="R30" i="17"/>
  <c r="AD30" i="17" s="1"/>
  <c r="P30" i="21"/>
  <c r="O31" i="17"/>
  <c r="N31" i="21"/>
  <c r="M32" i="17"/>
  <c r="K32" i="21"/>
  <c r="R32" i="17"/>
  <c r="O32" i="21"/>
  <c r="M33" i="17"/>
  <c r="K33" i="21"/>
  <c r="R33" i="17"/>
  <c r="O33" i="21"/>
  <c r="M34" i="17"/>
  <c r="K34" i="21"/>
  <c r="R34" i="17"/>
  <c r="O34" i="21"/>
  <c r="N32" i="17"/>
  <c r="L32" i="21"/>
  <c r="S32" i="17"/>
  <c r="P32" i="21"/>
  <c r="N33" i="17"/>
  <c r="L33" i="21"/>
  <c r="S33" i="17"/>
  <c r="P33" i="21"/>
  <c r="N34" i="17"/>
  <c r="L34" i="21"/>
  <c r="S34" i="17"/>
  <c r="P34" i="21"/>
  <c r="O32" i="17"/>
  <c r="M32" i="21"/>
  <c r="O33" i="17"/>
  <c r="M33" i="21"/>
  <c r="O34" i="17"/>
  <c r="M34" i="21"/>
  <c r="L32" i="17"/>
  <c r="J32" i="21"/>
  <c r="P32" i="17"/>
  <c r="N32" i="21"/>
  <c r="L33" i="17"/>
  <c r="J33" i="21"/>
  <c r="P33" i="17"/>
  <c r="N33" i="21"/>
  <c r="L34" i="17"/>
  <c r="J34" i="21"/>
  <c r="P34" i="17"/>
  <c r="N34" i="21"/>
  <c r="AD20" i="17"/>
  <c r="I14" i="17"/>
  <c r="I13" i="17"/>
  <c r="Q5" i="16"/>
  <c r="Q17" i="15"/>
  <c r="Q17" i="21" s="1"/>
  <c r="Q40" i="15"/>
  <c r="Q40" i="21" s="1"/>
  <c r="Q32" i="15"/>
  <c r="Q32" i="21" s="1"/>
  <c r="Q34" i="15"/>
  <c r="Q34" i="21" s="1"/>
  <c r="Q39" i="15"/>
  <c r="Q39" i="21" s="1"/>
  <c r="Q19" i="15"/>
  <c r="Q19" i="21" s="1"/>
  <c r="Q23" i="15"/>
  <c r="Q23" i="21" s="1"/>
  <c r="Q25" i="15"/>
  <c r="Q25" i="21" s="1"/>
  <c r="Q38" i="15"/>
  <c r="Q38" i="21" s="1"/>
  <c r="Q33" i="15"/>
  <c r="Q33" i="21" s="1"/>
  <c r="Q16" i="15"/>
  <c r="Q16" i="21" s="1"/>
  <c r="Q18" i="15"/>
  <c r="Q18" i="21" s="1"/>
  <c r="Q20" i="15"/>
  <c r="Q20" i="21" s="1"/>
  <c r="Q24" i="15"/>
  <c r="Q24" i="21" s="1"/>
  <c r="Q13" i="15"/>
  <c r="Q13" i="21" s="1"/>
  <c r="Q12" i="15"/>
  <c r="Q12" i="21" s="1"/>
  <c r="P3" i="15"/>
  <c r="P3" i="21" s="1"/>
  <c r="O3" i="15"/>
  <c r="O3" i="21" s="1"/>
  <c r="L3" i="15"/>
  <c r="L3" i="21" s="1"/>
  <c r="L2" i="15"/>
  <c r="L2" i="21" s="1"/>
  <c r="N2" i="15"/>
  <c r="N2" i="21" s="1"/>
  <c r="M4" i="15"/>
  <c r="M4" i="21" s="1"/>
  <c r="N4" i="15"/>
  <c r="N4" i="21" s="1"/>
  <c r="M2" i="15"/>
  <c r="M2" i="21" s="1"/>
  <c r="J3" i="15"/>
  <c r="J3" i="21" s="1"/>
  <c r="L4" i="15"/>
  <c r="L4" i="21" s="1"/>
  <c r="O2" i="15"/>
  <c r="O2" i="21" s="1"/>
  <c r="M3" i="15"/>
  <c r="M3" i="21" s="1"/>
  <c r="O4" i="15"/>
  <c r="O4" i="21" s="1"/>
  <c r="P2" i="15"/>
  <c r="P2" i="21" s="1"/>
  <c r="J2" i="15"/>
  <c r="J2" i="21" s="1"/>
  <c r="P4" i="15"/>
  <c r="P4" i="21" s="1"/>
  <c r="N3" i="15"/>
  <c r="N3" i="21" s="1"/>
  <c r="J4" i="15"/>
  <c r="J4" i="21" s="1"/>
  <c r="N5" i="15"/>
  <c r="N5" i="21" s="1"/>
  <c r="M5" i="15"/>
  <c r="M5" i="21" s="1"/>
  <c r="J5" i="15"/>
  <c r="J5" i="21" s="1"/>
  <c r="O5" i="15"/>
  <c r="O5" i="21" s="1"/>
  <c r="L5" i="15"/>
  <c r="L5" i="21" s="1"/>
  <c r="P5" i="15"/>
  <c r="P5" i="21" s="1"/>
  <c r="C21" i="13"/>
  <c r="D21" i="13"/>
  <c r="E21" i="13"/>
  <c r="F21" i="13"/>
  <c r="G21" i="13"/>
  <c r="H21" i="13"/>
  <c r="I21" i="13"/>
  <c r="J21" i="13"/>
  <c r="K21" i="13"/>
  <c r="L21" i="13"/>
  <c r="B21" i="13"/>
  <c r="M66" i="14"/>
  <c r="L66" i="14"/>
  <c r="K66" i="14"/>
  <c r="J66" i="14"/>
  <c r="I66" i="14"/>
  <c r="H66" i="14"/>
  <c r="G66" i="14"/>
  <c r="F66" i="14"/>
  <c r="E66" i="14"/>
  <c r="D66" i="14"/>
  <c r="C66" i="14"/>
  <c r="B66" i="14"/>
  <c r="M63" i="14"/>
  <c r="L63" i="14"/>
  <c r="K63" i="14"/>
  <c r="J63" i="14"/>
  <c r="I63" i="14"/>
  <c r="H63" i="14"/>
  <c r="G63" i="14"/>
  <c r="F63" i="14"/>
  <c r="E63" i="14"/>
  <c r="D63" i="14"/>
  <c r="C63" i="14"/>
  <c r="B63" i="14"/>
  <c r="M33" i="14"/>
  <c r="L33" i="14"/>
  <c r="K33" i="14"/>
  <c r="J33" i="14"/>
  <c r="I33" i="14"/>
  <c r="H33" i="14"/>
  <c r="G33" i="14"/>
  <c r="F33" i="14"/>
  <c r="E33" i="14"/>
  <c r="D33" i="14"/>
  <c r="C33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AD18" i="17" l="1"/>
  <c r="AD13" i="17"/>
  <c r="Q33" i="17"/>
  <c r="Q17" i="17"/>
  <c r="Q16" i="17"/>
  <c r="AD16" i="17"/>
  <c r="AD38" i="17"/>
  <c r="Q19" i="17"/>
  <c r="Q20" i="17"/>
  <c r="Q34" i="17"/>
  <c r="Q32" i="17"/>
  <c r="S5" i="17"/>
  <c r="S3" i="17"/>
  <c r="P3" i="17"/>
  <c r="Q18" i="17"/>
  <c r="Q25" i="17"/>
  <c r="Q40" i="17"/>
  <c r="O5" i="17"/>
  <c r="N5" i="17"/>
  <c r="Q39" i="17"/>
  <c r="Q38" i="17"/>
  <c r="N3" i="17"/>
  <c r="N4" i="17"/>
  <c r="O3" i="17"/>
  <c r="Q24" i="17"/>
  <c r="P4" i="17"/>
  <c r="Q23" i="17"/>
  <c r="M5" i="17"/>
  <c r="P6" i="17"/>
  <c r="O6" i="17"/>
  <c r="R5" i="17"/>
  <c r="P5" i="17"/>
  <c r="AD34" i="17"/>
  <c r="AD5" i="17" s="1"/>
  <c r="AD33" i="17"/>
  <c r="AD32" i="17"/>
  <c r="O4" i="17"/>
  <c r="AD12" i="17"/>
  <c r="R3" i="17"/>
  <c r="M3" i="17"/>
  <c r="M4" i="17"/>
  <c r="S4" i="17"/>
  <c r="K4" i="17"/>
  <c r="M6" i="17"/>
  <c r="Q13" i="17"/>
  <c r="R4" i="17"/>
  <c r="R6" i="17"/>
  <c r="AD14" i="17"/>
  <c r="N6" i="17"/>
  <c r="S6" i="17"/>
  <c r="Q14" i="17"/>
  <c r="N33" i="14"/>
  <c r="N66" i="14"/>
  <c r="N11" i="14"/>
  <c r="N63" i="14"/>
  <c r="N54" i="13"/>
  <c r="C50" i="13"/>
  <c r="D50" i="13"/>
  <c r="E50" i="13"/>
  <c r="F50" i="13"/>
  <c r="G50" i="13"/>
  <c r="H50" i="13"/>
  <c r="I50" i="13"/>
  <c r="J50" i="13"/>
  <c r="K50" i="13"/>
  <c r="L50" i="13"/>
  <c r="M50" i="13"/>
  <c r="B50" i="13"/>
  <c r="C47" i="13"/>
  <c r="D47" i="13"/>
  <c r="E47" i="13"/>
  <c r="F47" i="13"/>
  <c r="G47" i="13"/>
  <c r="H47" i="13"/>
  <c r="I47" i="13"/>
  <c r="J47" i="13"/>
  <c r="K47" i="13"/>
  <c r="L47" i="13"/>
  <c r="B47" i="13"/>
  <c r="C41" i="13"/>
  <c r="D41" i="13"/>
  <c r="E41" i="13"/>
  <c r="F41" i="13"/>
  <c r="G41" i="13"/>
  <c r="H41" i="13"/>
  <c r="I41" i="13"/>
  <c r="J41" i="13"/>
  <c r="K41" i="13"/>
  <c r="L41" i="13"/>
  <c r="B41" i="13"/>
  <c r="C36" i="13"/>
  <c r="D36" i="13"/>
  <c r="E36" i="13"/>
  <c r="F36" i="13"/>
  <c r="G36" i="13"/>
  <c r="H36" i="13"/>
  <c r="I36" i="13"/>
  <c r="J36" i="13"/>
  <c r="K36" i="13"/>
  <c r="L36" i="13"/>
  <c r="M36" i="13"/>
  <c r="B36" i="13"/>
  <c r="C30" i="13"/>
  <c r="D30" i="13"/>
  <c r="E30" i="13"/>
  <c r="F30" i="13"/>
  <c r="G30" i="13"/>
  <c r="H30" i="13"/>
  <c r="I30" i="13"/>
  <c r="J30" i="13"/>
  <c r="K30" i="13"/>
  <c r="L30" i="13"/>
  <c r="B30" i="13"/>
  <c r="C26" i="13"/>
  <c r="D26" i="13"/>
  <c r="E26" i="13"/>
  <c r="F26" i="13"/>
  <c r="G26" i="13"/>
  <c r="H26" i="13"/>
  <c r="I26" i="13"/>
  <c r="J26" i="13"/>
  <c r="K26" i="13"/>
  <c r="L26" i="13"/>
  <c r="M26" i="13"/>
  <c r="B26" i="13"/>
  <c r="H20" i="13"/>
  <c r="F20" i="13"/>
  <c r="E20" i="13"/>
  <c r="D20" i="13"/>
  <c r="C20" i="13"/>
  <c r="B20" i="13"/>
  <c r="H19" i="13"/>
  <c r="F19" i="13"/>
  <c r="E19" i="13"/>
  <c r="D19" i="13"/>
  <c r="C19" i="13"/>
  <c r="B19" i="13"/>
  <c r="G16" i="13"/>
  <c r="I16" i="13"/>
  <c r="J16" i="13"/>
  <c r="K16" i="13"/>
  <c r="L16" i="13"/>
  <c r="M16" i="13"/>
  <c r="H18" i="13"/>
  <c r="F18" i="13"/>
  <c r="E18" i="13"/>
  <c r="N18" i="13" s="1"/>
  <c r="C11" i="13"/>
  <c r="D11" i="13"/>
  <c r="E11" i="13"/>
  <c r="F11" i="13"/>
  <c r="G11" i="13"/>
  <c r="H11" i="13"/>
  <c r="I11" i="13"/>
  <c r="J11" i="13"/>
  <c r="K11" i="13"/>
  <c r="L11" i="13"/>
  <c r="B11" i="13"/>
  <c r="C5" i="13"/>
  <c r="D5" i="13"/>
  <c r="E5" i="13"/>
  <c r="F5" i="13"/>
  <c r="G5" i="13"/>
  <c r="H5" i="13"/>
  <c r="I5" i="13"/>
  <c r="J5" i="13"/>
  <c r="K5" i="13"/>
  <c r="L5" i="13"/>
  <c r="M5" i="13"/>
  <c r="B5" i="13"/>
  <c r="N46" i="13"/>
  <c r="N45" i="13"/>
  <c r="AD3" i="17" l="1"/>
  <c r="N19" i="13"/>
  <c r="N20" i="13"/>
  <c r="K30" i="15"/>
  <c r="K30" i="21" s="1"/>
  <c r="E31" i="15"/>
  <c r="K31" i="15"/>
  <c r="K31" i="21" s="1"/>
  <c r="F30" i="15"/>
  <c r="F30" i="21" s="1"/>
  <c r="H31" i="15"/>
  <c r="H31" i="21" s="1"/>
  <c r="G30" i="15"/>
  <c r="G30" i="21" s="1"/>
  <c r="I31" i="15"/>
  <c r="I31" i="21" s="1"/>
  <c r="H30" i="15"/>
  <c r="H30" i="21" s="1"/>
  <c r="F31" i="15"/>
  <c r="F31" i="21" s="1"/>
  <c r="E30" i="15"/>
  <c r="I30" i="15"/>
  <c r="I30" i="21" s="1"/>
  <c r="G31" i="15"/>
  <c r="G31" i="21" s="1"/>
  <c r="N47" i="13"/>
  <c r="N50" i="13"/>
  <c r="N41" i="13"/>
  <c r="F30" i="17" l="1"/>
  <c r="E30" i="21"/>
  <c r="F31" i="17"/>
  <c r="F5" i="17" s="1"/>
  <c r="E31" i="21"/>
  <c r="I4" i="15"/>
  <c r="I4" i="21" s="1"/>
  <c r="J31" i="17"/>
  <c r="J5" i="17" s="1"/>
  <c r="G3" i="15"/>
  <c r="G3" i="21" s="1"/>
  <c r="H30" i="17"/>
  <c r="H4" i="17" s="1"/>
  <c r="K4" i="15"/>
  <c r="K4" i="21" s="1"/>
  <c r="L31" i="17"/>
  <c r="L5" i="17" s="1"/>
  <c r="F4" i="17"/>
  <c r="H4" i="15"/>
  <c r="H4" i="21" s="1"/>
  <c r="I31" i="17"/>
  <c r="I5" i="17" s="1"/>
  <c r="K3" i="15"/>
  <c r="K3" i="21" s="1"/>
  <c r="L30" i="17"/>
  <c r="L4" i="17" s="1"/>
  <c r="I3" i="15"/>
  <c r="I3" i="21" s="1"/>
  <c r="J30" i="17"/>
  <c r="J4" i="17" s="1"/>
  <c r="F4" i="15"/>
  <c r="F4" i="21" s="1"/>
  <c r="G31" i="17"/>
  <c r="G5" i="17" s="1"/>
  <c r="G4" i="15"/>
  <c r="G4" i="21" s="1"/>
  <c r="H31" i="17"/>
  <c r="H5" i="17" s="1"/>
  <c r="H3" i="15"/>
  <c r="H3" i="21" s="1"/>
  <c r="I30" i="17"/>
  <c r="I4" i="17" s="1"/>
  <c r="F3" i="15"/>
  <c r="F3" i="21" s="1"/>
  <c r="G30" i="17"/>
  <c r="G4" i="17" s="1"/>
  <c r="E3" i="15"/>
  <c r="E3" i="21" s="1"/>
  <c r="Q30" i="15"/>
  <c r="Q3" i="15" s="1"/>
  <c r="Q3" i="21" s="1"/>
  <c r="E4" i="15"/>
  <c r="E4" i="21" s="1"/>
  <c r="Q31" i="15"/>
  <c r="Q4" i="15" s="1"/>
  <c r="Q4" i="21" s="1"/>
  <c r="Q30" i="16"/>
  <c r="Q31" i="16"/>
  <c r="Q30" i="21" l="1"/>
  <c r="Q31" i="21"/>
  <c r="Q31" i="17"/>
  <c r="Q5" i="17" s="1"/>
  <c r="Q30" i="17"/>
  <c r="Q4" i="17" s="1"/>
  <c r="N36" i="13"/>
  <c r="N26" i="13"/>
  <c r="N21" i="13"/>
  <c r="H17" i="13"/>
  <c r="F17" i="13"/>
  <c r="E17" i="13"/>
  <c r="D17" i="13"/>
  <c r="C17" i="13"/>
  <c r="B17" i="13"/>
  <c r="F10" i="13"/>
  <c r="E10" i="13"/>
  <c r="N17" i="13" l="1"/>
  <c r="H11" i="15"/>
  <c r="D16" i="13"/>
  <c r="G29" i="15"/>
  <c r="E16" i="13"/>
  <c r="H29" i="15"/>
  <c r="I11" i="15"/>
  <c r="I11" i="21" s="1"/>
  <c r="B16" i="13"/>
  <c r="Q29" i="16"/>
  <c r="E29" i="15"/>
  <c r="F16" i="13"/>
  <c r="I29" i="15"/>
  <c r="C16" i="13"/>
  <c r="F29" i="15"/>
  <c r="H16" i="13"/>
  <c r="K29" i="15"/>
  <c r="N30" i="13"/>
  <c r="N11" i="13"/>
  <c r="N10" i="13"/>
  <c r="N5" i="13"/>
  <c r="J12" i="17" l="1"/>
  <c r="H11" i="21"/>
  <c r="G29" i="17"/>
  <c r="G6" i="17" s="1"/>
  <c r="F29" i="21"/>
  <c r="I29" i="17"/>
  <c r="I6" i="17" s="1"/>
  <c r="H29" i="21"/>
  <c r="J29" i="17"/>
  <c r="J6" i="17" s="1"/>
  <c r="I29" i="21"/>
  <c r="H29" i="17"/>
  <c r="H6" i="17" s="1"/>
  <c r="G29" i="21"/>
  <c r="F29" i="17"/>
  <c r="F6" i="17" s="1"/>
  <c r="E29" i="21"/>
  <c r="L29" i="17"/>
  <c r="L6" i="17" s="1"/>
  <c r="K29" i="21"/>
  <c r="I2" i="15"/>
  <c r="I2" i="21" s="1"/>
  <c r="K12" i="17"/>
  <c r="Q12" i="17" s="1"/>
  <c r="G3" i="17"/>
  <c r="F3" i="17"/>
  <c r="Q29" i="15"/>
  <c r="Q29" i="21" s="1"/>
  <c r="H5" i="15"/>
  <c r="H5" i="21" s="1"/>
  <c r="I5" i="15"/>
  <c r="I5" i="21" s="1"/>
  <c r="K5" i="15"/>
  <c r="K5" i="21" s="1"/>
  <c r="K2" i="15"/>
  <c r="K2" i="21" s="1"/>
  <c r="F5" i="15"/>
  <c r="F5" i="21" s="1"/>
  <c r="F2" i="15"/>
  <c r="F2" i="21" s="1"/>
  <c r="G5" i="15"/>
  <c r="G5" i="21" s="1"/>
  <c r="G2" i="15"/>
  <c r="G2" i="21" s="1"/>
  <c r="E2" i="15"/>
  <c r="E2" i="21" s="1"/>
  <c r="E5" i="15"/>
  <c r="E5" i="21" s="1"/>
  <c r="Q11" i="15"/>
  <c r="H2" i="15"/>
  <c r="H2" i="21" s="1"/>
  <c r="Q11" i="16"/>
  <c r="N16" i="13"/>
  <c r="N57" i="11"/>
  <c r="M57" i="11"/>
  <c r="L57" i="11"/>
  <c r="K57" i="11"/>
  <c r="J57" i="11"/>
  <c r="I57" i="11"/>
  <c r="H57" i="11"/>
  <c r="G57" i="11"/>
  <c r="F57" i="11"/>
  <c r="E57" i="11"/>
  <c r="D57" i="11"/>
  <c r="C57" i="11"/>
  <c r="B55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B49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3" i="11"/>
  <c r="N39" i="11"/>
  <c r="M39" i="11"/>
  <c r="L39" i="11"/>
  <c r="N38" i="11"/>
  <c r="M38" i="11"/>
  <c r="M35" i="11"/>
  <c r="L35" i="11"/>
  <c r="B35" i="11" s="1"/>
  <c r="N32" i="11"/>
  <c r="M32" i="11"/>
  <c r="L32" i="11"/>
  <c r="K32" i="11"/>
  <c r="J32" i="11"/>
  <c r="I32" i="11"/>
  <c r="H32" i="11"/>
  <c r="G32" i="11"/>
  <c r="F32" i="11"/>
  <c r="E32" i="11"/>
  <c r="D32" i="11"/>
  <c r="C32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L29" i="11"/>
  <c r="K29" i="11"/>
  <c r="J29" i="11"/>
  <c r="I29" i="11"/>
  <c r="N26" i="11"/>
  <c r="B26" i="11" s="1"/>
  <c r="M26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I19" i="11"/>
  <c r="G19" i="11"/>
  <c r="F19" i="11"/>
  <c r="E19" i="11"/>
  <c r="D19" i="11"/>
  <c r="C19" i="11"/>
  <c r="B19" i="11" s="1"/>
  <c r="N16" i="11"/>
  <c r="M16" i="11"/>
  <c r="L16" i="11"/>
  <c r="K16" i="11"/>
  <c r="J16" i="11"/>
  <c r="I16" i="11"/>
  <c r="H16" i="11"/>
  <c r="N15" i="11"/>
  <c r="M15" i="11"/>
  <c r="L15" i="11"/>
  <c r="K15" i="11"/>
  <c r="J15" i="11"/>
  <c r="I15" i="11"/>
  <c r="H15" i="11"/>
  <c r="N14" i="11"/>
  <c r="M14" i="11"/>
  <c r="L14" i="11"/>
  <c r="I14" i="11"/>
  <c r="H14" i="11"/>
  <c r="M13" i="11"/>
  <c r="L13" i="11"/>
  <c r="K13" i="11"/>
  <c r="K14" i="11" s="1"/>
  <c r="J13" i="11"/>
  <c r="J14" i="11" s="1"/>
  <c r="H13" i="11"/>
  <c r="B11" i="11"/>
  <c r="N6" i="11"/>
  <c r="M6" i="11"/>
  <c r="L6" i="11"/>
  <c r="K6" i="11"/>
  <c r="J6" i="11"/>
  <c r="I6" i="11"/>
  <c r="H6" i="11"/>
  <c r="G6" i="11"/>
  <c r="F6" i="11"/>
  <c r="E6" i="11"/>
  <c r="D6" i="11"/>
  <c r="C6" i="11"/>
  <c r="L5" i="11"/>
  <c r="K5" i="11"/>
  <c r="X4" i="11"/>
  <c r="B2" i="11"/>
  <c r="I3" i="17" l="1"/>
  <c r="L3" i="17"/>
  <c r="Q11" i="21"/>
  <c r="Q29" i="17"/>
  <c r="Q6" i="17" s="1"/>
  <c r="H3" i="17"/>
  <c r="J3" i="17"/>
  <c r="K3" i="17"/>
  <c r="K6" i="17"/>
  <c r="Q2" i="15"/>
  <c r="Q2" i="21" s="1"/>
  <c r="Q3" i="17"/>
  <c r="Q5" i="15"/>
  <c r="Q5" i="21" s="1"/>
  <c r="L38" i="11"/>
  <c r="D58" i="11" l="1"/>
  <c r="E58" i="11"/>
  <c r="F58" i="11"/>
  <c r="G58" i="11"/>
  <c r="H58" i="11"/>
  <c r="I58" i="11"/>
  <c r="J58" i="11"/>
  <c r="K58" i="11"/>
  <c r="L58" i="11"/>
  <c r="M58" i="11"/>
  <c r="N58" i="11"/>
  <c r="C58" i="11"/>
  <c r="D22" i="11" l="1"/>
  <c r="H22" i="11"/>
  <c r="L22" i="11"/>
  <c r="E22" i="11"/>
  <c r="I22" i="11"/>
  <c r="M22" i="11"/>
  <c r="F22" i="11"/>
  <c r="J22" i="11"/>
  <c r="N22" i="11"/>
  <c r="C22" i="11"/>
  <c r="G22" i="11"/>
  <c r="K22" i="11"/>
  <c r="L40" i="11"/>
  <c r="M40" i="11"/>
  <c r="N40" i="11"/>
  <c r="E7" i="11"/>
  <c r="I7" i="11"/>
  <c r="M7" i="11"/>
  <c r="F7" i="11"/>
  <c r="J7" i="11"/>
  <c r="N7" i="11"/>
  <c r="C7" i="11"/>
  <c r="G7" i="11"/>
  <c r="K7" i="11"/>
  <c r="D7" i="11"/>
  <c r="H7" i="11"/>
  <c r="L7" i="11"/>
  <c r="U50" i="13" l="1"/>
  <c r="AA50" i="13" s="1"/>
  <c r="X19" i="15"/>
  <c r="X3" i="15"/>
  <c r="X3" i="21" s="1"/>
  <c r="AA52" i="13"/>
  <c r="AD19" i="15" l="1"/>
  <c r="AD19" i="21" s="1"/>
  <c r="X19" i="21"/>
  <c r="Z19" i="17"/>
  <c r="AD19" i="17" s="1"/>
  <c r="X5" i="15"/>
  <c r="X5" i="21" s="1"/>
  <c r="AD3" i="15"/>
  <c r="AD3" i="21" s="1"/>
  <c r="AD5" i="15" l="1"/>
  <c r="AD5" i="21" s="1"/>
  <c r="Z6" i="17"/>
  <c r="Z4" i="17"/>
  <c r="AD4" i="17"/>
  <c r="AD6" i="17"/>
</calcChain>
</file>

<file path=xl/sharedStrings.xml><?xml version="1.0" encoding="utf-8"?>
<sst xmlns="http://schemas.openxmlformats.org/spreadsheetml/2006/main" count="1118" uniqueCount="256">
  <si>
    <t>glomex GmbH</t>
  </si>
  <si>
    <t>Video Intelligence AG</t>
  </si>
  <si>
    <t>msn.de</t>
  </si>
  <si>
    <t>Video Elephant LTD</t>
  </si>
  <si>
    <t>Facebook Ireland Ltd.</t>
  </si>
  <si>
    <t>Anyclip Inc.</t>
  </si>
  <si>
    <t>Syndicationpartner</t>
  </si>
  <si>
    <t>Partner</t>
  </si>
  <si>
    <t>Sprache</t>
  </si>
  <si>
    <t>Feed</t>
  </si>
  <si>
    <t>Vertrag</t>
  </si>
  <si>
    <t>Reporting</t>
  </si>
  <si>
    <t>Kontakt</t>
  </si>
  <si>
    <t>Mail</t>
  </si>
  <si>
    <t>DE</t>
  </si>
  <si>
    <t>EN</t>
  </si>
  <si>
    <t>live</t>
  </si>
  <si>
    <t>ja</t>
  </si>
  <si>
    <t>monatlich</t>
  </si>
  <si>
    <t>ES/EN</t>
  </si>
  <si>
    <t>ES/EN/DE</t>
  </si>
  <si>
    <t>Horea Dan Grosan</t>
  </si>
  <si>
    <t>hg@vi.ai</t>
  </si>
  <si>
    <t>Kate Doughan</t>
  </si>
  <si>
    <t>kate@videoelephant.com</t>
  </si>
  <si>
    <t>Njuice AB</t>
  </si>
  <si>
    <t>EN/ES/DE</t>
  </si>
  <si>
    <t>Sapir Levi</t>
  </si>
  <si>
    <t>sapirl@anyclip.com</t>
  </si>
  <si>
    <t>in Review</t>
  </si>
  <si>
    <t>Primis</t>
  </si>
  <si>
    <t>omrip@primis.tech</t>
  </si>
  <si>
    <t>keiner vorhanden</t>
  </si>
  <si>
    <t>Minuten angesehen</t>
  </si>
  <si>
    <t>Billing Region</t>
  </si>
  <si>
    <t>Glomex</t>
  </si>
  <si>
    <t>MSN.de</t>
  </si>
  <si>
    <t>Youtube</t>
  </si>
  <si>
    <t>facebook</t>
  </si>
  <si>
    <t>Non-EU</t>
  </si>
  <si>
    <t>EU</t>
  </si>
  <si>
    <t>Opera</t>
  </si>
  <si>
    <t>Burda Forward</t>
  </si>
  <si>
    <t>Funke Digital</t>
  </si>
  <si>
    <t>Video Intelligence AG Biz Daily</t>
  </si>
  <si>
    <t>Daily Motion</t>
  </si>
  <si>
    <t>Daily Motion Biz Daily</t>
  </si>
  <si>
    <t>Snapchat Promipool</t>
  </si>
  <si>
    <t>Snapchat Itsintv</t>
  </si>
  <si>
    <t>Snapchat BizDaily</t>
  </si>
  <si>
    <t>Video Elephant LTD Freshclip</t>
  </si>
  <si>
    <t>TKP</t>
  </si>
  <si>
    <t>Dollar</t>
  </si>
  <si>
    <t>Euro / Dollar  Final</t>
  </si>
  <si>
    <t xml:space="preserve">Übertrag vorheriges Quartal </t>
  </si>
  <si>
    <t>Reichweite MSN EN</t>
  </si>
  <si>
    <t xml:space="preserve">Reichweite Daily Motion </t>
  </si>
  <si>
    <t>MSN.EN</t>
  </si>
  <si>
    <t>Reichweite Primis</t>
  </si>
  <si>
    <t>Partner Primis ES</t>
  </si>
  <si>
    <t>Reichweite Snapchat</t>
  </si>
  <si>
    <t>Einnahmen</t>
  </si>
  <si>
    <t>Rechnungdatum</t>
  </si>
  <si>
    <t>Zahlungsziel</t>
  </si>
  <si>
    <t>Snapchat EN</t>
  </si>
  <si>
    <t>Snapchat ES</t>
  </si>
  <si>
    <t>Partner Snapchat ES</t>
  </si>
  <si>
    <t>Partner Video Elephant Allvipp ES</t>
  </si>
  <si>
    <t>Partner Daily Motion ES</t>
  </si>
  <si>
    <t>Partner Video AI ES</t>
  </si>
  <si>
    <t>Burda DACH</t>
  </si>
  <si>
    <t>Funke DACH</t>
  </si>
  <si>
    <t>Facebook EN</t>
  </si>
  <si>
    <t>YouTube EN</t>
  </si>
  <si>
    <t>Opera EN</t>
  </si>
  <si>
    <t>Njuice EN</t>
  </si>
  <si>
    <t>Partner Facebook ES</t>
  </si>
  <si>
    <t>Partner YouTube ES</t>
  </si>
  <si>
    <t>Partner Njuice ES</t>
  </si>
  <si>
    <t>Video Intelligence AG DE</t>
  </si>
  <si>
    <t>Daily Motion DE</t>
  </si>
  <si>
    <t>Region</t>
  </si>
  <si>
    <t xml:space="preserve">Video Elephant </t>
  </si>
  <si>
    <t>Video Elephant EN</t>
  </si>
  <si>
    <t>Video Elephant ES</t>
  </si>
  <si>
    <t xml:space="preserve">Daily Motion </t>
  </si>
  <si>
    <t>Daily Motion EN</t>
  </si>
  <si>
    <t>Daily Motion ES</t>
  </si>
  <si>
    <t xml:space="preserve">Video Intelligence </t>
  </si>
  <si>
    <t>Video Intelligence AG EN</t>
  </si>
  <si>
    <t>Video Intelligence AG ES</t>
  </si>
  <si>
    <t xml:space="preserve">Primis </t>
  </si>
  <si>
    <t>Primis DE</t>
  </si>
  <si>
    <t>Primis EN</t>
  </si>
  <si>
    <t>Primis ES</t>
  </si>
  <si>
    <t>News Tab DE</t>
  </si>
  <si>
    <t>Video DE</t>
  </si>
  <si>
    <t>Video EN</t>
  </si>
  <si>
    <t>Video ES</t>
  </si>
  <si>
    <t xml:space="preserve">YouTube </t>
  </si>
  <si>
    <t>YouTube DE</t>
  </si>
  <si>
    <t>YouTube ES</t>
  </si>
  <si>
    <t xml:space="preserve">Opera </t>
  </si>
  <si>
    <t>Opera DE</t>
  </si>
  <si>
    <t xml:space="preserve">Njuice </t>
  </si>
  <si>
    <t>Njuice Dach</t>
  </si>
  <si>
    <t>Njuice ES</t>
  </si>
  <si>
    <t>AnyClip</t>
  </si>
  <si>
    <t>DACH</t>
  </si>
  <si>
    <t>ES</t>
  </si>
  <si>
    <t xml:space="preserve">Facebook </t>
  </si>
  <si>
    <t xml:space="preserve">Snapchat </t>
  </si>
  <si>
    <t>Snapchat</t>
  </si>
  <si>
    <t>MSN</t>
  </si>
  <si>
    <t>Dollarkurs</t>
  </si>
  <si>
    <t>MSN EN</t>
  </si>
  <si>
    <t>MSN ES</t>
  </si>
  <si>
    <t>PP</t>
  </si>
  <si>
    <t>Royals</t>
  </si>
  <si>
    <t>Stream Lovers</t>
  </si>
  <si>
    <t>Allvipp</t>
  </si>
  <si>
    <t>Celebridades</t>
  </si>
  <si>
    <t>La Realeza</t>
  </si>
  <si>
    <t>Its In</t>
  </si>
  <si>
    <t>Carsta Maria Müller</t>
  </si>
  <si>
    <t>Alternative Mail</t>
  </si>
  <si>
    <t>vi-vidops@outbrain.com</t>
  </si>
  <si>
    <t>huyboo@fb.com</t>
  </si>
  <si>
    <t>carstamaria@fb.com</t>
  </si>
  <si>
    <t>engin.seyhun@glomex.com</t>
  </si>
  <si>
    <t>Engin Seyhun</t>
  </si>
  <si>
    <t>Kein direkter Kontakt</t>
  </si>
  <si>
    <t>Support via Partner Portal</t>
  </si>
  <si>
    <t>Sophie Wimmer</t>
  </si>
  <si>
    <t>sophie@squidapp.co</t>
  </si>
  <si>
    <t>megan.oliver@videoelephant.com</t>
  </si>
  <si>
    <t>Omri Polak</t>
  </si>
  <si>
    <t>Laure Gardin</t>
  </si>
  <si>
    <t>laure.gardin@dailymotion.com</t>
  </si>
  <si>
    <t>Funke</t>
  </si>
  <si>
    <t>Burda</t>
  </si>
  <si>
    <t>Ashley Harisson</t>
  </si>
  <si>
    <t>aharrison@opera.com</t>
  </si>
  <si>
    <t>Verena Märtens</t>
  </si>
  <si>
    <t>verena.maertens@funkemedien.de</t>
  </si>
  <si>
    <t>Cathrin Keller</t>
  </si>
  <si>
    <t>cathrin.keller@burda-forward.de</t>
  </si>
  <si>
    <t>manuel.leopoldi@burda-forward.de</t>
  </si>
  <si>
    <t>takedown@videoelephant.com</t>
  </si>
  <si>
    <t>MSN ES Video</t>
  </si>
  <si>
    <t>MSN DE Video</t>
  </si>
  <si>
    <t xml:space="preserve">MSN DE </t>
  </si>
  <si>
    <t>MSN EN Video</t>
  </si>
  <si>
    <t xml:space="preserve">MSN ES </t>
  </si>
  <si>
    <t>Royal Flair</t>
  </si>
  <si>
    <t>Hot Gossip</t>
  </si>
  <si>
    <t>Summe</t>
  </si>
  <si>
    <t>Gesamt</t>
  </si>
  <si>
    <t>Reichweiten</t>
  </si>
  <si>
    <t>Revenues</t>
  </si>
  <si>
    <t>Reichweite</t>
  </si>
  <si>
    <r>
      <t>Revenues</t>
    </r>
    <r>
      <rPr>
        <sz val="12"/>
        <color rgb="FFFF0000"/>
        <rFont val="Quattrocento Sans"/>
        <family val="2"/>
      </rPr>
      <t xml:space="preserve"> 
</t>
    </r>
    <r>
      <rPr>
        <sz val="18"/>
        <color rgb="FFFF0000"/>
        <rFont val="Quattrocento Sans"/>
        <family val="2"/>
      </rPr>
      <t>(€)</t>
    </r>
  </si>
  <si>
    <t>Content Provider</t>
  </si>
  <si>
    <t>Total</t>
  </si>
  <si>
    <t>Q4 2022 Payment</t>
  </si>
  <si>
    <t>Remaining to Pay</t>
  </si>
  <si>
    <t>Promipool</t>
  </si>
  <si>
    <t>Relates to Januarary 2022 activity</t>
  </si>
  <si>
    <t>Relates to February 2022 activity</t>
  </si>
  <si>
    <t>Relates to March 2022 activity</t>
  </si>
  <si>
    <t>Relates to April 2022 activity</t>
  </si>
  <si>
    <t>Relates to June 2022 activity</t>
  </si>
  <si>
    <t>Relates to July 2022 activity</t>
  </si>
  <si>
    <t>Relates to August 2022 activity</t>
  </si>
  <si>
    <t>Relates to September 2022 activity</t>
  </si>
  <si>
    <t>Relates to October 2022 activity</t>
  </si>
  <si>
    <t>Relates to November 2022 activity</t>
  </si>
  <si>
    <t>Freshclip</t>
  </si>
  <si>
    <t>Relates to May 2020 activity</t>
  </si>
  <si>
    <t>Relates to July 2020 activity</t>
  </si>
  <si>
    <t>Relates to August 2020 activity</t>
  </si>
  <si>
    <t>Freshclip Archiv - kein Feed</t>
  </si>
  <si>
    <t>http://freedr.promipool.de/video-elephant.xml</t>
  </si>
  <si>
    <t>http://freedr.promipool.com/video-elephant.xml</t>
  </si>
  <si>
    <t>http://freedr.allvipp.com/video-elephant.xml</t>
  </si>
  <si>
    <t>http://freedr.promipool.de/glomex-feed.json</t>
  </si>
  <si>
    <t>http://freedr.promipool.de/funke.xml</t>
  </si>
  <si>
    <t>http://freedr.promipool.de/msn-galleries-v3.xml</t>
  </si>
  <si>
    <t>http://freedr.promipool.de/msn-rss-v3.xml</t>
  </si>
  <si>
    <t>http://freedr.promipool.com/vi-ai.xml</t>
  </si>
  <si>
    <t>http://freedr.promipool.de/vi-ai.xml</t>
  </si>
  <si>
    <t>http://freedr.allvipp.com/vi-ai.xml</t>
  </si>
  <si>
    <t>https://cdn.jwplayer.com/v2/playlists/HWsN8kOs?format=mrss</t>
  </si>
  <si>
    <t>https://cdn.jwplayer.com/v2/playlists/d8pwWkSK?format=mrss</t>
  </si>
  <si>
    <t>Daily Motion Itsin.tv</t>
  </si>
  <si>
    <t>Video Intelligence Itsin.tv</t>
  </si>
  <si>
    <t>Video Intelligence Biz Daily</t>
  </si>
  <si>
    <t>http://freedr.promipool.com/msn-rss.xml</t>
  </si>
  <si>
    <t>http://freedr.promipool.com/msn-galleries.xml</t>
  </si>
  <si>
    <t>http://freedr.allvipp.com/msn-rss.xml</t>
  </si>
  <si>
    <t>http://freedr.allvipp.com/msn-galleries.xml</t>
  </si>
  <si>
    <t>Glomex itsin.tv</t>
  </si>
  <si>
    <t>Glomex BizDaily</t>
  </si>
  <si>
    <t>Njuice itsintv</t>
  </si>
  <si>
    <t>http://freedr.promipool.de/google.xml</t>
  </si>
  <si>
    <t>http://freedr.promipool.com/google.xml</t>
  </si>
  <si>
    <t>Engin fragen für JW Playlist</t>
  </si>
  <si>
    <t>Laure fragen wegen JW</t>
  </si>
  <si>
    <t>Horea fragen wegen JW Player</t>
  </si>
  <si>
    <t>Anfragen wegen JW Player playlist</t>
  </si>
  <si>
    <t>Amar fragen</t>
  </si>
  <si>
    <t>Fragen wegen JW Player</t>
  </si>
  <si>
    <t>http://freedr.promipool.de/burda.xml</t>
  </si>
  <si>
    <t>Q1 2023 Payment</t>
  </si>
  <si>
    <t>Relates to Aug-22 activity</t>
  </si>
  <si>
    <t>Relates to Sep-22 activity</t>
  </si>
  <si>
    <t>Relates to Oct-22 activity</t>
  </si>
  <si>
    <t>Relates to Nov-22 activity</t>
  </si>
  <si>
    <t>Relates to Dec-22 activity</t>
  </si>
  <si>
    <t>Relates to Jan-23 activity</t>
  </si>
  <si>
    <t>Relates to Feb-23 activity</t>
  </si>
  <si>
    <t>Relates to May-20 activity</t>
  </si>
  <si>
    <t>Relates to Jul-20 activity</t>
  </si>
  <si>
    <t>Relates to Aug-20 activity</t>
  </si>
  <si>
    <t>Burda Anffragen</t>
  </si>
  <si>
    <t>MSN FR Video</t>
  </si>
  <si>
    <t>MSN FR</t>
  </si>
  <si>
    <t>FR</t>
  </si>
  <si>
    <t>Eu</t>
  </si>
  <si>
    <t>Q2 2023 Payment</t>
  </si>
  <si>
    <t>Relates to December 2022 activity</t>
  </si>
  <si>
    <t>Relates to January 2023 activity</t>
  </si>
  <si>
    <t>Relates to February 2023 activity</t>
  </si>
  <si>
    <t>Relates to March 2023 activity</t>
  </si>
  <si>
    <t>Relates to April 2023 activity</t>
  </si>
  <si>
    <t>Relates to May 2023 activity</t>
  </si>
  <si>
    <t>Retro</t>
  </si>
  <si>
    <t>TV&amp; Film</t>
  </si>
  <si>
    <t>Style</t>
  </si>
  <si>
    <t>Schlager</t>
  </si>
  <si>
    <t xml:space="preserve">Crime </t>
  </si>
  <si>
    <t>Q3 2023 Payment</t>
  </si>
  <si>
    <t>Relates to June 2023 activity</t>
  </si>
  <si>
    <t>Relates to July 2023 activity</t>
  </si>
  <si>
    <t>Relates to August 2023 activity</t>
  </si>
  <si>
    <t>Video Elephant LTD Promipool</t>
  </si>
  <si>
    <t>Ju n24</t>
  </si>
  <si>
    <t>In EUR</t>
  </si>
  <si>
    <t>Q4 2023 Payment</t>
  </si>
  <si>
    <t>Relates to September 2023 activity</t>
  </si>
  <si>
    <t>Relates to October 2023 activity</t>
  </si>
  <si>
    <t>Relates to November 2023 activity</t>
  </si>
  <si>
    <t>Q1 2024 Payment</t>
  </si>
  <si>
    <t>Relates to December 2023 activity</t>
  </si>
  <si>
    <t>Relates to January 2024 activity</t>
  </si>
  <si>
    <t>Relates to February 2024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</si>
</sst>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&quot; €&quot;_-;\-* #,##0.00&quot; €&quot;_-;_-* \-??&quot; €&quot;_-;_-@_-"/>
    <numFmt numFmtId="165" formatCode="dd\.mm\.yy;@"/>
    <numFmt numFmtId="166" formatCode="#,##0.00&quot; €&quot;"/>
    <numFmt numFmtId="167" formatCode="dd/mm/yy;@"/>
    <numFmt numFmtId="168" formatCode="mmmm\ yy;@"/>
    <numFmt numFmtId="169" formatCode="_-[$$-409]* #,##0.00_ ;_-[$$-409]* \-#,##0.00\ ;_-[$$-409]* &quot;-&quot;??_ ;_-@_ "/>
    <numFmt numFmtId="170" formatCode="[$-407]mmm/\ yy;@"/>
    <numFmt numFmtId="171" formatCode="_-* #,##0.00\ [$€-407]_-;\-* #,##0.00\ [$€-407]_-;_-* &quot;-&quot;??\ [$€-407]_-;_-@_-"/>
    <numFmt numFmtId="172" formatCode="0.000"/>
  </numFmts>
  <fonts count="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2"/>
      <color indexed="23"/>
      <name val="Arial"/>
      <family val="2"/>
    </font>
    <font>
      <b/>
      <sz val="12"/>
      <color indexed="52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rgb="FFFF0000"/>
      <name val="Arial"/>
      <family val="2"/>
    </font>
    <font>
      <sz val="10"/>
      <name val="Geneva"/>
      <family val="2"/>
    </font>
    <font>
      <i/>
      <sz val="10"/>
      <name val="Arial"/>
      <family val="2"/>
    </font>
    <font>
      <sz val="10"/>
      <name val="MS Sans Serif"/>
      <family val="2"/>
    </font>
    <font>
      <sz val="18"/>
      <color rgb="FFFF0000"/>
      <name val="Quattrocento Sans"/>
      <family val="2"/>
    </font>
    <font>
      <sz val="12"/>
      <color rgb="FFFF0000"/>
      <name val="Quattrocento Sans"/>
      <family val="2"/>
    </font>
    <font>
      <sz val="11"/>
      <color indexed="9"/>
      <name val="Calibri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sz val="16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FFFF"/>
      <name val="Inconsolata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5" fillId="0" borderId="0"/>
    <xf numFmtId="0" fontId="6" fillId="0" borderId="0"/>
    <xf numFmtId="0" fontId="3" fillId="0" borderId="0"/>
    <xf numFmtId="0" fontId="6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7" fillId="0" borderId="0"/>
    <xf numFmtId="0" fontId="19" fillId="0" borderId="0"/>
    <xf numFmtId="0" fontId="11" fillId="0" borderId="0"/>
    <xf numFmtId="0" fontId="2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25">
    <xf numFmtId="0" fontId="0" fillId="0" borderId="0" xfId="0"/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167" fontId="10" fillId="0" borderId="0" xfId="0" applyNumberFormat="1" applyFont="1" applyAlignment="1">
      <alignment horizontal="left" vertical="center"/>
    </xf>
    <xf numFmtId="0" fontId="7" fillId="0" borderId="0" xfId="4" applyFont="1"/>
    <xf numFmtId="168" fontId="6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8" fontId="0" fillId="0" borderId="2" xfId="0" applyNumberForma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44" fontId="8" fillId="0" borderId="0" xfId="0" applyNumberFormat="1" applyFont="1"/>
    <xf numFmtId="0" fontId="0" fillId="3" borderId="3" xfId="0" applyFill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7" fontId="6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65" fontId="4" fillId="2" borderId="1" xfId="0" applyNumberFormat="1" applyFont="1" applyFill="1" applyBorder="1" applyAlignment="1">
      <alignment horizontal="center" wrapText="1"/>
    </xf>
    <xf numFmtId="166" fontId="4" fillId="2" borderId="1" xfId="0" applyNumberFormat="1" applyFont="1" applyFill="1" applyBorder="1" applyAlignment="1">
      <alignment horizontal="center" wrapText="1"/>
    </xf>
    <xf numFmtId="0" fontId="16" fillId="0" borderId="0" xfId="82" applyFont="1" applyAlignment="1"/>
    <xf numFmtId="0" fontId="6" fillId="0" borderId="0" xfId="83" applyFont="1" applyAlignment="1">
      <alignment horizontal="left"/>
    </xf>
    <xf numFmtId="0" fontId="16" fillId="0" borderId="0" xfId="82" applyFont="1" applyAlignment="1">
      <alignment horizontal="left"/>
    </xf>
    <xf numFmtId="0" fontId="6" fillId="0" borderId="0" xfId="84" applyFont="1" applyAlignment="1" applyProtection="1">
      <alignment vertical="center"/>
      <protection locked="0"/>
    </xf>
    <xf numFmtId="0" fontId="6" fillId="0" borderId="0" xfId="6"/>
    <xf numFmtId="0" fontId="4" fillId="5" borderId="4" xfId="86" applyFont="1" applyFill="1" applyBorder="1" applyAlignment="1">
      <alignment horizontal="left" wrapText="1"/>
    </xf>
    <xf numFmtId="170" fontId="23" fillId="7" borderId="4" xfId="0" applyNumberFormat="1" applyFont="1" applyFill="1" applyBorder="1" applyAlignment="1">
      <alignment horizontal="center" wrapText="1"/>
    </xf>
    <xf numFmtId="0" fontId="6" fillId="0" borderId="4" xfId="87" applyFont="1" applyBorder="1" applyAlignment="1" applyProtection="1">
      <alignment vertical="center"/>
    </xf>
    <xf numFmtId="3" fontId="18" fillId="0" borderId="4" xfId="84" applyNumberFormat="1" applyFont="1" applyBorder="1" applyAlignment="1">
      <alignment horizontal="right" vertical="center"/>
    </xf>
    <xf numFmtId="0" fontId="6" fillId="7" borderId="0" xfId="84" applyFont="1" applyFill="1" applyAlignment="1" applyProtection="1">
      <alignment vertical="center"/>
      <protection locked="0"/>
    </xf>
    <xf numFmtId="3" fontId="25" fillId="0" borderId="4" xfId="84" applyNumberFormat="1" applyFont="1" applyBorder="1" applyAlignment="1">
      <alignment horizontal="right" vertical="center"/>
    </xf>
    <xf numFmtId="167" fontId="0" fillId="0" borderId="2" xfId="0" applyNumberFormat="1" applyBorder="1" applyAlignment="1">
      <alignment horizontal="left"/>
    </xf>
    <xf numFmtId="167" fontId="0" fillId="0" borderId="4" xfId="0" applyNumberFormat="1" applyBorder="1" applyAlignment="1">
      <alignment horizontal="left"/>
    </xf>
    <xf numFmtId="0" fontId="6" fillId="0" borderId="2" xfId="87" applyFont="1" applyBorder="1" applyAlignment="1" applyProtection="1">
      <alignment vertical="center"/>
    </xf>
    <xf numFmtId="3" fontId="26" fillId="0" borderId="4" xfId="84" applyNumberFormat="1" applyFont="1" applyBorder="1" applyAlignment="1">
      <alignment horizontal="right" vertical="center"/>
    </xf>
    <xf numFmtId="171" fontId="18" fillId="0" borderId="4" xfId="84" applyNumberFormat="1" applyFont="1" applyBorder="1" applyAlignment="1">
      <alignment horizontal="right" vertical="center"/>
    </xf>
    <xf numFmtId="171" fontId="26" fillId="0" borderId="4" xfId="84" applyNumberFormat="1" applyFont="1" applyBorder="1" applyAlignment="1">
      <alignment horizontal="right" vertical="center"/>
    </xf>
    <xf numFmtId="171" fontId="25" fillId="0" borderId="4" xfId="84" applyNumberFormat="1" applyFont="1" applyBorder="1" applyAlignment="1">
      <alignment horizontal="right" vertical="center"/>
    </xf>
    <xf numFmtId="169" fontId="0" fillId="0" borderId="0" xfId="0" applyNumberFormat="1"/>
    <xf numFmtId="171" fontId="0" fillId="0" borderId="0" xfId="0" applyNumberFormat="1"/>
    <xf numFmtId="169" fontId="25" fillId="0" borderId="4" xfId="84" applyNumberFormat="1" applyFont="1" applyBorder="1" applyAlignment="1">
      <alignment horizontal="right" vertical="center"/>
    </xf>
    <xf numFmtId="4" fontId="18" fillId="0" borderId="4" xfId="84" applyNumberFormat="1" applyFont="1" applyBorder="1" applyAlignment="1">
      <alignment horizontal="right" vertical="center"/>
    </xf>
    <xf numFmtId="14" fontId="0" fillId="0" borderId="2" xfId="0" applyNumberFormat="1" applyBorder="1" applyAlignment="1">
      <alignment horizontal="left"/>
    </xf>
    <xf numFmtId="14" fontId="6" fillId="0" borderId="4" xfId="87" applyNumberFormat="1" applyFont="1" applyBorder="1" applyAlignment="1" applyProtection="1">
      <alignment vertical="center"/>
    </xf>
    <xf numFmtId="14" fontId="18" fillId="0" borderId="4" xfId="84" applyNumberFormat="1" applyFont="1" applyBorder="1" applyAlignment="1">
      <alignment horizontal="right" vertical="center"/>
    </xf>
    <xf numFmtId="14" fontId="25" fillId="0" borderId="4" xfId="84" applyNumberFormat="1" applyFont="1" applyBorder="1" applyAlignment="1">
      <alignment horizontal="right" vertical="center"/>
    </xf>
    <xf numFmtId="14" fontId="26" fillId="0" borderId="4" xfId="84" applyNumberFormat="1" applyFont="1" applyBorder="1" applyAlignment="1">
      <alignment horizontal="right" vertical="center"/>
    </xf>
    <xf numFmtId="14" fontId="0" fillId="0" borderId="0" xfId="0" applyNumberFormat="1"/>
    <xf numFmtId="171" fontId="6" fillId="0" borderId="4" xfId="84" applyNumberFormat="1" applyFont="1" applyBorder="1" applyAlignment="1">
      <alignment horizontal="right" vertical="center"/>
    </xf>
    <xf numFmtId="171" fontId="15" fillId="0" borderId="4" xfId="84" applyNumberFormat="1" applyFont="1" applyBorder="1" applyAlignment="1">
      <alignment horizontal="right" vertical="center"/>
    </xf>
    <xf numFmtId="171" fontId="27" fillId="0" borderId="4" xfId="84" applyNumberFormat="1" applyFont="1" applyBorder="1" applyAlignment="1">
      <alignment horizontal="right" vertical="center"/>
    </xf>
    <xf numFmtId="169" fontId="6" fillId="0" borderId="4" xfId="87" applyNumberFormat="1" applyFont="1" applyBorder="1" applyAlignment="1" applyProtection="1">
      <alignment vertical="center"/>
    </xf>
    <xf numFmtId="169" fontId="4" fillId="0" borderId="4" xfId="87" applyNumberFormat="1" applyFont="1" applyBorder="1" applyAlignment="1" applyProtection="1">
      <alignment vertical="center"/>
    </xf>
    <xf numFmtId="171" fontId="4" fillId="0" borderId="4" xfId="87" applyNumberFormat="1" applyFont="1" applyBorder="1" applyAlignment="1" applyProtection="1">
      <alignment vertical="center"/>
    </xf>
    <xf numFmtId="14" fontId="27" fillId="0" borderId="4" xfId="87" applyNumberFormat="1" applyFont="1" applyBorder="1" applyAlignment="1" applyProtection="1">
      <alignment vertical="center"/>
    </xf>
    <xf numFmtId="0" fontId="28" fillId="7" borderId="6" xfId="0" applyFont="1" applyFill="1" applyBorder="1" applyAlignment="1">
      <alignment horizontal="left"/>
    </xf>
    <xf numFmtId="0" fontId="4" fillId="8" borderId="4" xfId="86" applyFont="1" applyFill="1" applyBorder="1" applyAlignment="1">
      <alignment horizontal="left" wrapText="1"/>
    </xf>
    <xf numFmtId="0" fontId="0" fillId="0" borderId="4" xfId="87" applyFont="1" applyBorder="1" applyAlignment="1" applyProtection="1">
      <alignment vertical="center"/>
    </xf>
    <xf numFmtId="167" fontId="0" fillId="6" borderId="4" xfId="0" applyNumberFormat="1" applyFill="1" applyBorder="1" applyAlignment="1">
      <alignment horizontal="left"/>
    </xf>
    <xf numFmtId="169" fontId="4" fillId="6" borderId="4" xfId="87" applyNumberFormat="1" applyFont="1" applyFill="1" applyBorder="1" applyAlignment="1" applyProtection="1">
      <alignment vertical="center"/>
    </xf>
    <xf numFmtId="171" fontId="6" fillId="6" borderId="4" xfId="84" applyNumberFormat="1" applyFont="1" applyFill="1" applyBorder="1" applyAlignment="1">
      <alignment horizontal="right" vertical="center"/>
    </xf>
    <xf numFmtId="167" fontId="0" fillId="6" borderId="2" xfId="0" applyNumberFormat="1" applyFill="1" applyBorder="1" applyAlignment="1">
      <alignment horizontal="left"/>
    </xf>
    <xf numFmtId="169" fontId="15" fillId="0" borderId="4" xfId="84" applyNumberFormat="1" applyFont="1" applyBorder="1" applyAlignment="1">
      <alignment horizontal="right" vertical="center"/>
    </xf>
    <xf numFmtId="169" fontId="27" fillId="0" borderId="4" xfId="84" applyNumberFormat="1" applyFont="1" applyBorder="1" applyAlignment="1">
      <alignment horizontal="right" vertical="center"/>
    </xf>
    <xf numFmtId="171" fontId="4" fillId="0" borderId="0" xfId="87" applyNumberFormat="1" applyFont="1" applyBorder="1" applyAlignment="1" applyProtection="1">
      <alignment vertical="center"/>
    </xf>
    <xf numFmtId="0" fontId="6" fillId="0" borderId="0" xfId="87" applyFont="1" applyBorder="1" applyAlignment="1" applyProtection="1">
      <alignment vertical="center"/>
    </xf>
    <xf numFmtId="3" fontId="18" fillId="0" borderId="0" xfId="84" applyNumberFormat="1" applyFont="1" applyAlignment="1">
      <alignment horizontal="right" vertical="center"/>
    </xf>
    <xf numFmtId="3" fontId="4" fillId="0" borderId="4" xfId="87" applyNumberFormat="1" applyFont="1" applyBorder="1" applyAlignment="1" applyProtection="1">
      <alignment vertical="center"/>
    </xf>
    <xf numFmtId="3" fontId="6" fillId="0" borderId="4" xfId="87" applyNumberFormat="1" applyFont="1" applyBorder="1" applyAlignment="1" applyProtection="1">
      <alignment vertical="center"/>
    </xf>
    <xf numFmtId="168" fontId="12" fillId="0" borderId="4" xfId="82" applyNumberForma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9" fontId="15" fillId="0" borderId="7" xfId="84" applyNumberFormat="1" applyFont="1" applyBorder="1" applyAlignment="1">
      <alignment horizontal="right" vertical="center"/>
    </xf>
    <xf numFmtId="14" fontId="6" fillId="0" borderId="0" xfId="6" applyNumberFormat="1" applyAlignment="1">
      <alignment horizontal="right" vertical="top"/>
    </xf>
    <xf numFmtId="14" fontId="6" fillId="0" borderId="0" xfId="6" applyNumberFormat="1" applyAlignment="1">
      <alignment horizontal="left" vertical="top"/>
    </xf>
    <xf numFmtId="3" fontId="6" fillId="0" borderId="0" xfId="6" applyNumberFormat="1" applyAlignment="1">
      <alignment vertical="top"/>
    </xf>
    <xf numFmtId="14" fontId="6" fillId="0" borderId="8" xfId="6" applyNumberFormat="1" applyBorder="1" applyAlignment="1">
      <alignment horizontal="left" vertical="center"/>
    </xf>
    <xf numFmtId="3" fontId="6" fillId="0" borderId="8" xfId="6" applyNumberFormat="1" applyBorder="1"/>
    <xf numFmtId="171" fontId="4" fillId="6" borderId="4" xfId="87" applyNumberFormat="1" applyFont="1" applyFill="1" applyBorder="1" applyAlignment="1" applyProtection="1">
      <alignment vertical="center"/>
    </xf>
    <xf numFmtId="0" fontId="6" fillId="6" borderId="4" xfId="87" applyFont="1" applyFill="1" applyBorder="1" applyAlignment="1" applyProtection="1">
      <alignment vertical="center"/>
    </xf>
    <xf numFmtId="3" fontId="18" fillId="6" borderId="4" xfId="84" applyNumberFormat="1" applyFont="1" applyFill="1" applyBorder="1" applyAlignment="1">
      <alignment horizontal="right" vertical="center"/>
    </xf>
    <xf numFmtId="0" fontId="0" fillId="6" borderId="4" xfId="87" applyFont="1" applyFill="1" applyBorder="1" applyAlignment="1" applyProtection="1">
      <alignment vertical="center"/>
    </xf>
    <xf numFmtId="170" fontId="23" fillId="7" borderId="4" xfId="0" applyNumberFormat="1" applyFont="1" applyFill="1" applyBorder="1" applyAlignment="1">
      <alignment horizontal="center" vertical="center" wrapText="1"/>
    </xf>
    <xf numFmtId="1" fontId="20" fillId="4" borderId="0" xfId="85" applyNumberFormat="1" applyFont="1" applyFill="1" applyAlignment="1">
      <alignment horizontal="left" vertical="top"/>
    </xf>
    <xf numFmtId="0" fontId="30" fillId="5" borderId="4" xfId="86" applyFont="1" applyFill="1" applyBorder="1" applyAlignment="1">
      <alignment horizontal="center" vertical="center" wrapText="1"/>
    </xf>
    <xf numFmtId="3" fontId="4" fillId="0" borderId="9" xfId="6" applyNumberFormat="1" applyFont="1" applyBorder="1" applyAlignment="1">
      <alignment vertical="top"/>
    </xf>
    <xf numFmtId="3" fontId="6" fillId="6" borderId="4" xfId="84" applyNumberFormat="1" applyFont="1" applyFill="1" applyBorder="1" applyAlignment="1">
      <alignment horizontal="right" vertical="center"/>
    </xf>
    <xf numFmtId="3" fontId="6" fillId="0" borderId="4" xfId="84" applyNumberFormat="1" applyFont="1" applyBorder="1" applyAlignment="1">
      <alignment horizontal="right" vertical="center"/>
    </xf>
    <xf numFmtId="3" fontId="15" fillId="0" borderId="4" xfId="84" applyNumberFormat="1" applyFont="1" applyBorder="1" applyAlignment="1">
      <alignment horizontal="right" vertical="center"/>
    </xf>
    <xf numFmtId="3" fontId="27" fillId="0" borderId="4" xfId="84" applyNumberFormat="1" applyFont="1" applyBorder="1" applyAlignment="1">
      <alignment horizontal="right" vertical="center"/>
    </xf>
    <xf numFmtId="3" fontId="27" fillId="6" borderId="4" xfId="84" applyNumberFormat="1" applyFont="1" applyFill="1" applyBorder="1" applyAlignment="1">
      <alignment horizontal="right" vertical="center"/>
    </xf>
    <xf numFmtId="3" fontId="4" fillId="6" borderId="4" xfId="84" applyNumberFormat="1" applyFont="1" applyFill="1" applyBorder="1" applyAlignment="1">
      <alignment horizontal="right" vertical="center"/>
    </xf>
    <xf numFmtId="3" fontId="4" fillId="0" borderId="4" xfId="84" applyNumberFormat="1" applyFont="1" applyBorder="1" applyAlignment="1">
      <alignment horizontal="right" vertical="center"/>
    </xf>
    <xf numFmtId="169" fontId="15" fillId="6" borderId="4" xfId="84" applyNumberFormat="1" applyFont="1" applyFill="1" applyBorder="1" applyAlignment="1">
      <alignment horizontal="right" vertical="center"/>
    </xf>
    <xf numFmtId="169" fontId="29" fillId="6" borderId="4" xfId="84" applyNumberFormat="1" applyFont="1" applyFill="1" applyBorder="1" applyAlignment="1">
      <alignment horizontal="right" vertical="center"/>
    </xf>
    <xf numFmtId="169" fontId="31" fillId="0" borderId="4" xfId="84" applyNumberFormat="1" applyFont="1" applyBorder="1" applyAlignment="1">
      <alignment horizontal="right" vertical="center"/>
    </xf>
    <xf numFmtId="171" fontId="29" fillId="0" borderId="4" xfId="84" applyNumberFormat="1" applyFont="1" applyBorder="1" applyAlignment="1">
      <alignment horizontal="right" vertical="center"/>
    </xf>
    <xf numFmtId="171" fontId="4" fillId="6" borderId="4" xfId="84" applyNumberFormat="1" applyFont="1" applyFill="1" applyBorder="1" applyAlignment="1">
      <alignment horizontal="right" vertical="center"/>
    </xf>
    <xf numFmtId="171" fontId="31" fillId="0" borderId="4" xfId="84" applyNumberFormat="1" applyFont="1" applyBorder="1" applyAlignment="1">
      <alignment horizontal="right" vertical="center"/>
    </xf>
    <xf numFmtId="169" fontId="29" fillId="0" borderId="4" xfId="84" applyNumberFormat="1" applyFont="1" applyBorder="1" applyAlignment="1">
      <alignment horizontal="right" vertical="center"/>
    </xf>
    <xf numFmtId="169" fontId="29" fillId="0" borderId="7" xfId="84" applyNumberFormat="1" applyFont="1" applyBorder="1" applyAlignment="1">
      <alignment horizontal="right" vertical="center"/>
    </xf>
    <xf numFmtId="172" fontId="0" fillId="9" borderId="14" xfId="4" applyNumberFormat="1" applyFont="1" applyFill="1" applyBorder="1" applyAlignment="1">
      <alignment horizontal="center"/>
    </xf>
    <xf numFmtId="172" fontId="0" fillId="9" borderId="15" xfId="4" applyNumberFormat="1" applyFont="1" applyFill="1" applyBorder="1" applyAlignment="1">
      <alignment horizontal="center"/>
    </xf>
    <xf numFmtId="172" fontId="0" fillId="9" borderId="16" xfId="4" applyNumberFormat="1" applyFont="1" applyFill="1" applyBorder="1" applyAlignment="1">
      <alignment horizontal="center"/>
    </xf>
    <xf numFmtId="172" fontId="0" fillId="9" borderId="17" xfId="4" applyNumberFormat="1" applyFont="1" applyFill="1" applyBorder="1" applyAlignment="1">
      <alignment horizontal="center"/>
    </xf>
    <xf numFmtId="14" fontId="6" fillId="0" borderId="10" xfId="6" applyNumberFormat="1" applyBorder="1" applyAlignment="1">
      <alignment horizontal="right" vertical="center"/>
    </xf>
    <xf numFmtId="14" fontId="6" fillId="0" borderId="0" xfId="6" applyNumberFormat="1" applyAlignment="1">
      <alignment horizontal="left" vertical="center"/>
    </xf>
    <xf numFmtId="3" fontId="6" fillId="0" borderId="0" xfId="6" applyNumberFormat="1"/>
    <xf numFmtId="14" fontId="6" fillId="0" borderId="9" xfId="6" applyNumberFormat="1" applyBorder="1" applyAlignment="1">
      <alignment horizontal="right" vertical="center"/>
    </xf>
    <xf numFmtId="14" fontId="6" fillId="0" borderId="9" xfId="6" applyNumberFormat="1" applyBorder="1" applyAlignment="1">
      <alignment horizontal="right" vertical="top"/>
    </xf>
    <xf numFmtId="14" fontId="6" fillId="0" borderId="8" xfId="6" applyNumberFormat="1" applyBorder="1" applyAlignment="1">
      <alignment horizontal="left" vertical="top"/>
    </xf>
    <xf numFmtId="3" fontId="6" fillId="0" borderId="8" xfId="6" applyNumberFormat="1" applyBorder="1" applyAlignment="1">
      <alignment vertical="top"/>
    </xf>
    <xf numFmtId="172" fontId="0" fillId="9" borderId="19" xfId="4" applyNumberFormat="1" applyFont="1" applyFill="1" applyBorder="1" applyAlignment="1">
      <alignment horizontal="center"/>
    </xf>
    <xf numFmtId="14" fontId="6" fillId="0" borderId="13" xfId="6" applyNumberFormat="1" applyBorder="1" applyAlignment="1">
      <alignment horizontal="right" vertical="center"/>
    </xf>
    <xf numFmtId="14" fontId="6" fillId="0" borderId="21" xfId="6" applyNumberFormat="1" applyBorder="1" applyAlignment="1">
      <alignment horizontal="left" vertical="center"/>
    </xf>
    <xf numFmtId="3" fontId="6" fillId="0" borderId="21" xfId="6" applyNumberFormat="1" applyBorder="1"/>
    <xf numFmtId="3" fontId="6" fillId="0" borderId="13" xfId="6" applyNumberFormat="1" applyBorder="1"/>
    <xf numFmtId="3" fontId="6" fillId="0" borderId="10" xfId="6" applyNumberFormat="1" applyBorder="1"/>
    <xf numFmtId="3" fontId="6" fillId="0" borderId="9" xfId="6" applyNumberFormat="1" applyBorder="1"/>
    <xf numFmtId="3" fontId="6" fillId="0" borderId="9" xfId="6" applyNumberFormat="1" applyBorder="1" applyAlignment="1">
      <alignment vertical="top"/>
    </xf>
    <xf numFmtId="0" fontId="6" fillId="6" borderId="2" xfId="87" applyFont="1" applyFill="1" applyBorder="1" applyAlignment="1" applyProtection="1">
      <alignment vertical="center"/>
    </xf>
    <xf numFmtId="167" fontId="6" fillId="6" borderId="4" xfId="0" applyNumberFormat="1" applyFont="1" applyFill="1" applyBorder="1" applyAlignment="1">
      <alignment horizontal="left"/>
    </xf>
    <xf numFmtId="3" fontId="6" fillId="6" borderId="4" xfId="87" applyNumberFormat="1" applyFont="1" applyFill="1" applyBorder="1" applyAlignment="1" applyProtection="1">
      <alignment vertical="center"/>
    </xf>
    <xf numFmtId="3" fontId="4" fillId="6" borderId="4" xfId="87" applyNumberFormat="1" applyFont="1" applyFill="1" applyBorder="1" applyAlignment="1" applyProtection="1">
      <alignment vertical="center"/>
    </xf>
    <xf numFmtId="170" fontId="4" fillId="7" borderId="4" xfId="0" applyNumberFormat="1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4" fillId="9" borderId="20" xfId="6" applyNumberFormat="1" applyFont="1" applyFill="1" applyBorder="1"/>
    <xf numFmtId="3" fontId="4" fillId="9" borderId="7" xfId="6" applyNumberFormat="1" applyFont="1" applyFill="1" applyBorder="1"/>
    <xf numFmtId="3" fontId="4" fillId="9" borderId="18" xfId="6" applyNumberFormat="1" applyFont="1" applyFill="1" applyBorder="1"/>
    <xf numFmtId="3" fontId="4" fillId="9" borderId="4" xfId="6" applyNumberFormat="1" applyFont="1" applyFill="1" applyBorder="1" applyAlignment="1">
      <alignment vertical="top"/>
    </xf>
    <xf numFmtId="3" fontId="4" fillId="9" borderId="18" xfId="6" applyNumberFormat="1" applyFont="1" applyFill="1" applyBorder="1" applyAlignment="1">
      <alignment vertical="top"/>
    </xf>
    <xf numFmtId="171" fontId="15" fillId="6" borderId="4" xfId="84" applyNumberFormat="1" applyFont="1" applyFill="1" applyBorder="1" applyAlignment="1">
      <alignment horizontal="right" vertical="center"/>
    </xf>
    <xf numFmtId="171" fontId="27" fillId="6" borderId="4" xfId="84" applyNumberFormat="1" applyFont="1" applyFill="1" applyBorder="1" applyAlignment="1">
      <alignment horizontal="right" vertical="center"/>
    </xf>
    <xf numFmtId="171" fontId="31" fillId="6" borderId="4" xfId="84" applyNumberFormat="1" applyFont="1" applyFill="1" applyBorder="1" applyAlignment="1">
      <alignment horizontal="right" vertical="center"/>
    </xf>
    <xf numFmtId="171" fontId="29" fillId="6" borderId="4" xfId="84" applyNumberFormat="1" applyFont="1" applyFill="1" applyBorder="1" applyAlignment="1">
      <alignment horizontal="right" vertical="center"/>
    </xf>
    <xf numFmtId="3" fontId="15" fillId="6" borderId="4" xfId="84" applyNumberFormat="1" applyFont="1" applyFill="1" applyBorder="1" applyAlignment="1">
      <alignment horizontal="right" vertical="center"/>
    </xf>
    <xf numFmtId="0" fontId="2" fillId="0" borderId="0" xfId="89"/>
    <xf numFmtId="0" fontId="33" fillId="0" borderId="8" xfId="89" applyFont="1" applyBorder="1" applyAlignment="1">
      <alignment horizontal="center" vertical="center" wrapText="1"/>
    </xf>
    <xf numFmtId="43" fontId="33" fillId="0" borderId="8" xfId="90" applyFont="1" applyBorder="1" applyAlignment="1" applyProtection="1">
      <alignment horizontal="center" vertical="center" wrapText="1"/>
    </xf>
    <xf numFmtId="43" fontId="33" fillId="10" borderId="8" xfId="90" applyFont="1" applyFill="1" applyBorder="1" applyAlignment="1" applyProtection="1">
      <alignment horizontal="center" vertical="center" wrapText="1"/>
    </xf>
    <xf numFmtId="43" fontId="33" fillId="0" borderId="8" xfId="90" applyFont="1" applyFill="1" applyBorder="1" applyAlignment="1" applyProtection="1">
      <alignment horizontal="center" vertical="center" wrapText="1"/>
    </xf>
    <xf numFmtId="0" fontId="34" fillId="0" borderId="0" xfId="89" applyFont="1"/>
    <xf numFmtId="0" fontId="33" fillId="0" borderId="0" xfId="89" applyFont="1"/>
    <xf numFmtId="0" fontId="2" fillId="10" borderId="0" xfId="89" applyFill="1"/>
    <xf numFmtId="43" fontId="33" fillId="0" borderId="22" xfId="90" applyFont="1" applyBorder="1"/>
    <xf numFmtId="43" fontId="33" fillId="10" borderId="22" xfId="90" applyFont="1" applyFill="1" applyBorder="1"/>
    <xf numFmtId="167" fontId="0" fillId="0" borderId="23" xfId="0" applyNumberFormat="1" applyBorder="1" applyAlignment="1">
      <alignment horizontal="left"/>
    </xf>
    <xf numFmtId="3" fontId="6" fillId="0" borderId="23" xfId="87" applyNumberFormat="1" applyFont="1" applyBorder="1" applyAlignment="1" applyProtection="1">
      <alignment vertical="center"/>
    </xf>
    <xf numFmtId="3" fontId="4" fillId="0" borderId="23" xfId="87" applyNumberFormat="1" applyFont="1" applyBorder="1" applyAlignment="1" applyProtection="1">
      <alignment vertical="center"/>
    </xf>
    <xf numFmtId="3" fontId="12" fillId="0" borderId="4" xfId="82" applyNumberFormat="1" applyBorder="1" applyAlignment="1" applyProtection="1">
      <alignment vertical="center"/>
    </xf>
    <xf numFmtId="0" fontId="35" fillId="0" borderId="0" xfId="0" applyFont="1"/>
    <xf numFmtId="0" fontId="6" fillId="0" borderId="23" xfId="87" applyFont="1" applyBorder="1" applyAlignment="1" applyProtection="1">
      <alignment vertical="center"/>
    </xf>
    <xf numFmtId="3" fontId="6" fillId="6" borderId="23" xfId="87" applyNumberFormat="1" applyFont="1" applyFill="1" applyBorder="1" applyAlignment="1" applyProtection="1">
      <alignment vertical="center"/>
    </xf>
    <xf numFmtId="169" fontId="15" fillId="0" borderId="0" xfId="0" applyNumberFormat="1" applyFont="1"/>
    <xf numFmtId="0" fontId="36" fillId="0" borderId="8" xfId="0" applyFont="1" applyBorder="1" applyAlignment="1">
      <alignment horizontal="center" vertical="center" wrapText="1"/>
    </xf>
    <xf numFmtId="0" fontId="36" fillId="11" borderId="8" xfId="0" applyFont="1" applyFill="1" applyBorder="1" applyAlignment="1">
      <alignment horizontal="center" vertical="center" wrapText="1"/>
    </xf>
    <xf numFmtId="0" fontId="37" fillId="0" borderId="0" xfId="0" applyFont="1"/>
    <xf numFmtId="0" fontId="37" fillId="11" borderId="0" xfId="0" applyFont="1" applyFill="1"/>
    <xf numFmtId="0" fontId="38" fillId="0" borderId="0" xfId="0" applyFont="1"/>
    <xf numFmtId="0" fontId="37" fillId="0" borderId="0" xfId="0" applyFont="1" applyAlignment="1">
      <alignment wrapText="1"/>
    </xf>
    <xf numFmtId="0" fontId="37" fillId="0" borderId="8" xfId="0" applyFont="1" applyBorder="1"/>
    <xf numFmtId="0" fontId="37" fillId="11" borderId="8" xfId="0" applyFont="1" applyFill="1" applyBorder="1"/>
    <xf numFmtId="0" fontId="37" fillId="0" borderId="22" xfId="0" applyFont="1" applyBorder="1"/>
    <xf numFmtId="0" fontId="37" fillId="11" borderId="22" xfId="0" applyFont="1" applyFill="1" applyBorder="1"/>
    <xf numFmtId="171" fontId="15" fillId="0" borderId="23" xfId="84" applyNumberFormat="1" applyFont="1" applyBorder="1" applyAlignment="1">
      <alignment horizontal="right" vertical="center"/>
    </xf>
    <xf numFmtId="3" fontId="12" fillId="0" borderId="23" xfId="82" applyNumberFormat="1" applyBorder="1" applyAlignment="1" applyProtection="1">
      <alignment vertical="center"/>
    </xf>
    <xf numFmtId="171" fontId="31" fillId="0" borderId="23" xfId="84" applyNumberFormat="1" applyFont="1" applyBorder="1" applyAlignment="1">
      <alignment horizontal="right" vertical="center"/>
    </xf>
    <xf numFmtId="171" fontId="6" fillId="0" borderId="23" xfId="84" applyNumberFormat="1" applyFont="1" applyBorder="1" applyAlignment="1">
      <alignment horizontal="right" vertical="center"/>
    </xf>
    <xf numFmtId="171" fontId="27" fillId="0" borderId="23" xfId="84" applyNumberFormat="1" applyFont="1" applyBorder="1" applyAlignment="1">
      <alignment horizontal="right" vertical="center"/>
    </xf>
    <xf numFmtId="171" fontId="4" fillId="6" borderId="23" xfId="87" applyNumberFormat="1" applyFont="1" applyFill="1" applyBorder="1" applyAlignment="1" applyProtection="1">
      <alignment vertical="center"/>
    </xf>
    <xf numFmtId="0" fontId="0" fillId="6" borderId="23" xfId="87" applyFont="1" applyFill="1" applyBorder="1" applyAlignment="1" applyProtection="1">
      <alignment vertical="center"/>
    </xf>
    <xf numFmtId="3" fontId="6" fillId="6" borderId="23" xfId="84" applyNumberFormat="1" applyFont="1" applyFill="1" applyBorder="1" applyAlignment="1">
      <alignment horizontal="right" vertical="center"/>
    </xf>
    <xf numFmtId="3" fontId="15" fillId="6" borderId="23" xfId="84" applyNumberFormat="1" applyFont="1" applyFill="1" applyBorder="1" applyAlignment="1">
      <alignment horizontal="right" vertical="center"/>
    </xf>
    <xf numFmtId="3" fontId="27" fillId="6" borderId="23" xfId="84" applyNumberFormat="1" applyFont="1" applyFill="1" applyBorder="1" applyAlignment="1">
      <alignment horizontal="right" vertical="center"/>
    </xf>
    <xf numFmtId="3" fontId="4" fillId="6" borderId="23" xfId="84" applyNumberFormat="1" applyFont="1" applyFill="1" applyBorder="1" applyAlignment="1">
      <alignment horizontal="right" vertical="center"/>
    </xf>
    <xf numFmtId="0" fontId="0" fillId="0" borderId="23" xfId="87" applyFont="1" applyBorder="1" applyAlignment="1" applyProtection="1">
      <alignment vertical="center"/>
    </xf>
    <xf numFmtId="171" fontId="4" fillId="0" borderId="23" xfId="87" applyNumberFormat="1" applyFont="1" applyBorder="1" applyAlignment="1" applyProtection="1">
      <alignment vertical="center"/>
    </xf>
    <xf numFmtId="3" fontId="6" fillId="0" borderId="23" xfId="84" applyNumberFormat="1" applyFont="1" applyBorder="1" applyAlignment="1">
      <alignment horizontal="right" vertical="center"/>
    </xf>
    <xf numFmtId="4" fontId="6" fillId="0" borderId="4" xfId="84" applyNumberFormat="1" applyFont="1" applyBorder="1" applyAlignment="1">
      <alignment horizontal="right" vertical="center"/>
    </xf>
    <xf numFmtId="4" fontId="6" fillId="6" borderId="4" xfId="84" applyNumberFormat="1" applyFont="1" applyFill="1" applyBorder="1" applyAlignment="1">
      <alignment horizontal="right" vertical="center"/>
    </xf>
    <xf numFmtId="4" fontId="6" fillId="0" borderId="23" xfId="84" applyNumberFormat="1" applyFont="1" applyBorder="1" applyAlignment="1">
      <alignment horizontal="right" vertical="center"/>
    </xf>
    <xf numFmtId="4" fontId="6" fillId="0" borderId="21" xfId="6" applyNumberFormat="1" applyBorder="1"/>
    <xf numFmtId="4" fontId="4" fillId="9" borderId="20" xfId="6" applyNumberFormat="1" applyFont="1" applyFill="1" applyBorder="1"/>
    <xf numFmtId="4" fontId="6" fillId="0" borderId="0" xfId="6" applyNumberFormat="1"/>
    <xf numFmtId="4" fontId="4" fillId="9" borderId="7" xfId="6" applyNumberFormat="1" applyFont="1" applyFill="1" applyBorder="1"/>
    <xf numFmtId="4" fontId="6" fillId="0" borderId="8" xfId="6" applyNumberFormat="1" applyBorder="1"/>
    <xf numFmtId="4" fontId="4" fillId="9" borderId="18" xfId="6" applyNumberFormat="1" applyFont="1" applyFill="1" applyBorder="1"/>
    <xf numFmtId="4" fontId="6" fillId="0" borderId="8" xfId="6" applyNumberFormat="1" applyBorder="1" applyAlignment="1">
      <alignment vertical="top"/>
    </xf>
    <xf numFmtId="4" fontId="4" fillId="9" borderId="18" xfId="6" applyNumberFormat="1" applyFont="1" applyFill="1" applyBorder="1" applyAlignment="1">
      <alignment vertical="top"/>
    </xf>
    <xf numFmtId="4" fontId="4" fillId="0" borderId="4" xfId="84" applyNumberFormat="1" applyFont="1" applyBorder="1" applyAlignment="1">
      <alignment horizontal="right" vertical="center"/>
    </xf>
    <xf numFmtId="4" fontId="4" fillId="6" borderId="4" xfId="84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horizontal="center" vertical="center" wrapText="1"/>
    </xf>
    <xf numFmtId="43" fontId="33" fillId="0" borderId="8" xfId="91" applyFont="1" applyBorder="1" applyAlignment="1" applyProtection="1">
      <alignment horizontal="center" vertical="center" wrapText="1"/>
    </xf>
    <xf numFmtId="43" fontId="33" fillId="10" borderId="8" xfId="91" applyFont="1" applyFill="1" applyBorder="1" applyAlignment="1" applyProtection="1">
      <alignment horizontal="center" vertical="center" wrapText="1"/>
    </xf>
    <xf numFmtId="43" fontId="33" fillId="0" borderId="8" xfId="91" applyFont="1" applyFill="1" applyBorder="1" applyAlignment="1" applyProtection="1">
      <alignment horizontal="center" vertical="center" wrapText="1"/>
    </xf>
    <xf numFmtId="43" fontId="0" fillId="0" borderId="0" xfId="91" applyFont="1" applyProtection="1"/>
    <xf numFmtId="43" fontId="0" fillId="10" borderId="0" xfId="91" applyFont="1" applyFill="1"/>
    <xf numFmtId="43" fontId="0" fillId="0" borderId="0" xfId="91" applyFont="1"/>
    <xf numFmtId="0" fontId="34" fillId="0" borderId="0" xfId="0" applyFont="1"/>
    <xf numFmtId="0" fontId="33" fillId="0" borderId="0" xfId="0" applyFont="1"/>
    <xf numFmtId="43" fontId="0" fillId="0" borderId="22" xfId="91" applyFont="1" applyFill="1" applyBorder="1" applyProtection="1"/>
    <xf numFmtId="43" fontId="0" fillId="10" borderId="22" xfId="91" applyFont="1" applyFill="1" applyBorder="1" applyProtection="1"/>
    <xf numFmtId="0" fontId="0" fillId="0" borderId="0" xfId="0" applyAlignment="1">
      <alignment horizontal="left" vertical="center" wrapText="1"/>
    </xf>
    <xf numFmtId="43" fontId="1" fillId="0" borderId="0" xfId="91" applyFont="1" applyBorder="1" applyAlignment="1" applyProtection="1">
      <alignment horizontal="center" vertical="center" wrapText="1"/>
    </xf>
    <xf numFmtId="43" fontId="1" fillId="10" borderId="0" xfId="91" applyFont="1" applyFill="1" applyBorder="1" applyAlignment="1" applyProtection="1">
      <alignment horizontal="center" vertical="center" wrapText="1"/>
    </xf>
    <xf numFmtId="43" fontId="1" fillId="0" borderId="0" xfId="91" applyFont="1" applyFill="1" applyBorder="1" applyAlignment="1" applyProtection="1">
      <alignment horizontal="center" vertical="center" wrapText="1"/>
    </xf>
    <xf numFmtId="43" fontId="33" fillId="0" borderId="22" xfId="91" applyFont="1" applyFill="1" applyBorder="1" applyProtection="1"/>
    <xf numFmtId="43" fontId="33" fillId="10" borderId="22" xfId="91" applyFont="1" applyFill="1" applyBorder="1" applyProtection="1"/>
    <xf numFmtId="44" fontId="0" fillId="0" borderId="0" xfId="92" applyFont="1"/>
    <xf numFmtId="0" fontId="12" fillId="0" borderId="0" xfId="82"/>
    <xf numFmtId="167" fontId="0" fillId="0" borderId="0" xfId="0" applyNumberFormat="1" applyAlignment="1">
      <alignment horizontal="right"/>
    </xf>
    <xf numFmtId="2" fontId="0" fillId="0" borderId="0" xfId="0" applyNumberFormat="1"/>
    <xf numFmtId="0" fontId="15" fillId="9" borderId="11" xfId="82" applyFont="1" applyFill="1" applyBorder="1" applyAlignment="1">
      <alignment horizontal="center"/>
    </xf>
    <xf numFmtId="0" fontId="15" fillId="9" borderId="12" xfId="82" applyFont="1" applyFill="1" applyBorder="1" applyAlignment="1">
      <alignment horizontal="center"/>
    </xf>
    <xf numFmtId="1" fontId="20" fillId="4" borderId="0" xfId="85" applyNumberFormat="1" applyFont="1" applyFill="1" applyAlignment="1">
      <alignment horizontal="center" vertical="center" wrapText="1"/>
    </xf>
    <xf numFmtId="1" fontId="20" fillId="4" borderId="0" xfId="85" applyNumberFormat="1" applyFont="1" applyFill="1" applyAlignment="1">
      <alignment horizontal="center" vertical="center"/>
    </xf>
    <xf numFmtId="169" fontId="6" fillId="0" borderId="4" xfId="84" applyNumberFormat="1" applyFont="1" applyBorder="1" applyAlignment="1">
      <alignment horizontal="right" vertical="center"/>
    </xf>
  </cellXfs>
  <cellStyles count="93"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Euro" xfId="1" xr:uid="{00000000-0005-0000-0000-000025000000}"/>
    <cellStyle name="Euro 2" xfId="2" xr:uid="{00000000-0005-0000-0000-000026000000}"/>
    <cellStyle name="Excel Built-in Normal" xfId="3" xr:uid="{00000000-0005-0000-0000-000027000000}"/>
    <cellStyle name="Hyperlink 2" xfId="87" xr:uid="{E0BD8B9E-9C3E-4E58-BC69-66B0253FD6AA}"/>
    <cellStyle name="Hyperlink_DG_Forecast_2011_110614" xfId="88" xr:uid="{C5C68876-5E58-4371-A353-E7FAB360B17F}"/>
    <cellStyle name="Komma" xfId="91" builtinId="3"/>
    <cellStyle name="Komma 2" xfId="90" xr:uid="{313866EB-79F8-487B-84AA-C16B48C1213F}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/>
    <cellStyle name="Normal_BPIGMM97" xfId="84" xr:uid="{A1E83D1C-E4D2-4657-AC31-5D087453C3ED}"/>
    <cellStyle name="Standard" xfId="0" builtinId="0"/>
    <cellStyle name="Standard 10" xfId="85" xr:uid="{ECF27CA5-5FA4-4EC2-835D-CD3B25D9AF1C}"/>
    <cellStyle name="Standard 2" xfId="4" xr:uid="{00000000-0005-0000-0000-00004F000000}"/>
    <cellStyle name="Standard 2 2" xfId="86" xr:uid="{5AB65F11-B75B-4487-871A-EC39716C4E5A}"/>
    <cellStyle name="Standard 2 2 2" xfId="6" xr:uid="{00000000-0005-0000-0000-000050000000}"/>
    <cellStyle name="Standard 3" xfId="5" xr:uid="{00000000-0005-0000-0000-000051000000}"/>
    <cellStyle name="Standard 4" xfId="7" xr:uid="{00000000-0005-0000-0000-000052000000}"/>
    <cellStyle name="Standard 5" xfId="89" xr:uid="{8748E18C-2AA9-4F85-BD2E-1FBC8B5D709F}"/>
    <cellStyle name="Standard_getmobile AG (Holding) Monate 2002 2" xfId="83" xr:uid="{94ED9E91-A76B-491F-9FB0-8C5705DDE303}"/>
    <cellStyle name="Währung" xfId="92" builtinId="4"/>
  </cellStyles>
  <dxfs count="4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0101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26365</xdr:rowOff>
    </xdr:from>
    <xdr:to>
      <xdr:col>1</xdr:col>
      <xdr:colOff>827088</xdr:colOff>
      <xdr:row>3</xdr:row>
      <xdr:rowOff>15651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8290"/>
          <a:ext cx="2428875" cy="4598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RPHEUS/MORPHEUS/Promipool%20Marketing%20und%20Sales/MORPHEUS/Promipool%20Marketing%20und%20Sales/MORPHEUS/Promipool%20Core/MORPHEUS/Shared%20Folders/Users/Uli/Downloads/07%20Juli/gp_Controllingreport_07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NHALTUN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-vidops@outbrain.com" TargetMode="External"/><Relationship Id="rId1" Type="http://schemas.openxmlformats.org/officeDocument/2006/relationships/hyperlink" Target="mailto:sapirl@anyclip.com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freedr.promipool.de/burda.xml" TargetMode="External"/><Relationship Id="rId13" Type="http://schemas.openxmlformats.org/officeDocument/2006/relationships/hyperlink" Target="http://freedr.promipool.com/google.xml" TargetMode="External"/><Relationship Id="rId3" Type="http://schemas.openxmlformats.org/officeDocument/2006/relationships/hyperlink" Target="https://eur01.safelinks.protection.outlook.com/?url=https%3A%2F%2Fcdn.jwplayer.com%2Fv2%2Fplaylists%2FHWsN8kOs%3Fformat%3Dmrss&amp;data=05%7C01%7Claure.gardin%40dailymotion.com%7C0742d8bc94954780e54308dacbd4e828%7C37530da3f7a748f4ba462dc336d55387%7C0%7C0%7C638046412539444015%7CUnknown%7CTWFpbGZsb3d8eyJWIjoiMC4wLjAwMDAiLCJQIjoiV2luMzIiLCJBTiI6Ik1haWwiLCJXVCI6Mn0%3D%7C2000%7C%7C%7C&amp;sdata=xsGti1ijncpkPlFOb14He0A2YY%2B%2BMT%2F6qTDPit53qKg%3D&amp;reserved=0" TargetMode="External"/><Relationship Id="rId7" Type="http://schemas.openxmlformats.org/officeDocument/2006/relationships/hyperlink" Target="https://eur01.safelinks.protection.outlook.com/?url=https%3A%2F%2Fcdn.jwplayer.com%2Fv2%2Fplaylists%2Fd8pwWkSK%3Fformat%3Dmrss&amp;data=05%7C01%7Claure.gardin%40dailymotion.com%7C0742d8bc94954780e54308dacbd4e828%7C37530da3f7a748f4ba462dc336d55387%7C0%7C0%7C638046412539444015%7CUnknown%7CTWFpbGZsb3d8eyJWIjoiMC4wLjAwMDAiLCJQIjoiV2luMzIiLCJBTiI6Ik1haWwiLCJXVCI6Mn0%3D%7C2000%7C%7C%7C&amp;sdata=FROfM4Xjt2Q7OLstnII86bfFrEZfeZiGv6FNxvj6Z2Q%3D&amp;reserved=0" TargetMode="External"/><Relationship Id="rId12" Type="http://schemas.openxmlformats.org/officeDocument/2006/relationships/hyperlink" Target="http://freedr.promipool.de/google.xml" TargetMode="External"/><Relationship Id="rId2" Type="http://schemas.openxmlformats.org/officeDocument/2006/relationships/hyperlink" Target="http://freedr.promipool.de/vi-ai.xml" TargetMode="External"/><Relationship Id="rId16" Type="http://schemas.openxmlformats.org/officeDocument/2006/relationships/printerSettings" Target="../printerSettings/printerSettings9.bin"/><Relationship Id="rId1" Type="http://schemas.openxmlformats.org/officeDocument/2006/relationships/hyperlink" Target="http://freedr.promipool.de/glomex-feed.json" TargetMode="External"/><Relationship Id="rId6" Type="http://schemas.openxmlformats.org/officeDocument/2006/relationships/hyperlink" Target="http://freedr.promipool.de/vi-ai.xml" TargetMode="External"/><Relationship Id="rId11" Type="http://schemas.openxmlformats.org/officeDocument/2006/relationships/hyperlink" Target="https://cdn.jwplayer.com/v2/playlists/d8pwWkSK?format=mrss" TargetMode="External"/><Relationship Id="rId5" Type="http://schemas.openxmlformats.org/officeDocument/2006/relationships/hyperlink" Target="https://cdn.jwplayer.com/v2/playlists/HWsN8kOs?format=mrss" TargetMode="External"/><Relationship Id="rId15" Type="http://schemas.openxmlformats.org/officeDocument/2006/relationships/hyperlink" Target="http://freedr.promipool.com/msn-galleries.xml" TargetMode="External"/><Relationship Id="rId10" Type="http://schemas.openxmlformats.org/officeDocument/2006/relationships/hyperlink" Target="http://freedr.promipool.de/vi-ai.xml" TargetMode="External"/><Relationship Id="rId4" Type="http://schemas.openxmlformats.org/officeDocument/2006/relationships/hyperlink" Target="https://eur01.safelinks.protection.outlook.com/?url=https%3A%2F%2Fcdn.jwplayer.com%2Fv2%2Fplaylists%2Fd8pwWkSK%3Fformat%3Dmrss&amp;data=05%7C01%7Claure.gardin%40dailymotion.com%7C0742d8bc94954780e54308dacbd4e828%7C37530da3f7a748f4ba462dc336d55387%7C0%7C0%7C638046412539444015%7CUnknown%7CTWFpbGZsb3d8eyJWIjoiMC4wLjAwMDAiLCJQIjoiV2luMzIiLCJBTiI6Ik1haWwiLCJXVCI6Mn0%3D%7C2000%7C%7C%7C&amp;sdata=FROfM4Xjt2Q7OLstnII86bfFrEZfeZiGv6FNxvj6Z2Q%3D&amp;reserved=0" TargetMode="External"/><Relationship Id="rId9" Type="http://schemas.openxmlformats.org/officeDocument/2006/relationships/hyperlink" Target="http://freedr.allvipp.com/vi-ai.xml" TargetMode="External"/><Relationship Id="rId14" Type="http://schemas.openxmlformats.org/officeDocument/2006/relationships/hyperlink" Target="https://cdn.jwplayer.com/v2/playlists/d8pwWkSK?format=mrs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showGridLines="0" zoomScale="96" zoomScaleNormal="96" zoomScaleSheetLayoutView="100" workbookViewId="0">
      <pane ySplit="6" topLeftCell="A7" activePane="bottomLeft" state="frozen"/>
      <selection pane="bottomLeft" activeCell="D25" sqref="D25"/>
    </sheetView>
  </sheetViews>
  <sheetFormatPr baseColWidth="10" defaultColWidth="23.42578125" defaultRowHeight="12.75"/>
  <cols>
    <col min="1" max="1" width="25" style="1" customWidth="1"/>
    <col min="2" max="2" width="17.85546875" style="1" customWidth="1"/>
    <col min="3" max="3" width="33.85546875" style="2" bestFit="1" customWidth="1"/>
    <col min="4" max="4" width="31.140625" style="3" bestFit="1" customWidth="1"/>
    <col min="5" max="6" width="22.85546875" style="3" customWidth="1"/>
    <col min="7" max="7" width="14.42578125" style="3" bestFit="1" customWidth="1"/>
    <col min="8" max="8" width="18.140625" style="1" customWidth="1"/>
    <col min="9" max="9" width="18.7109375" style="4" customWidth="1"/>
    <col min="10" max="16384" width="23.42578125" style="6"/>
  </cols>
  <sheetData>
    <row r="2" spans="1:10" ht="15.75">
      <c r="H2" s="5"/>
    </row>
    <row r="3" spans="1:10" ht="21" customHeight="1">
      <c r="C3" s="8" t="s">
        <v>6</v>
      </c>
      <c r="H3" s="7"/>
      <c r="J3" s="15"/>
    </row>
    <row r="5" spans="1:10">
      <c r="B5" s="22"/>
    </row>
    <row r="6" spans="1:10" ht="25.5" customHeight="1">
      <c r="A6" s="23" t="s">
        <v>7</v>
      </c>
      <c r="B6" s="23" t="s">
        <v>8</v>
      </c>
      <c r="C6" s="24" t="s">
        <v>12</v>
      </c>
      <c r="D6" s="25" t="s">
        <v>13</v>
      </c>
      <c r="E6" s="25" t="s">
        <v>125</v>
      </c>
      <c r="F6" s="25"/>
      <c r="G6" s="25" t="s">
        <v>10</v>
      </c>
      <c r="H6" s="25" t="s">
        <v>9</v>
      </c>
      <c r="I6" s="25" t="s">
        <v>11</v>
      </c>
    </row>
    <row r="7" spans="1:10" ht="12.75" customHeight="1">
      <c r="A7" s="12" t="s">
        <v>5</v>
      </c>
      <c r="B7" s="14" t="s">
        <v>19</v>
      </c>
      <c r="C7" s="11" t="s">
        <v>27</v>
      </c>
      <c r="D7" s="12" t="s">
        <v>28</v>
      </c>
      <c r="E7" s="75"/>
      <c r="F7" s="75"/>
      <c r="G7" s="11" t="s">
        <v>17</v>
      </c>
      <c r="H7" s="10" t="s">
        <v>29</v>
      </c>
      <c r="I7" s="12" t="s">
        <v>18</v>
      </c>
    </row>
    <row r="8" spans="1:10">
      <c r="A8" s="12" t="s">
        <v>4</v>
      </c>
      <c r="B8" s="14" t="s">
        <v>26</v>
      </c>
      <c r="C8" s="11" t="s">
        <v>124</v>
      </c>
      <c r="D8" s="11" t="s">
        <v>128</v>
      </c>
      <c r="E8" s="21" t="s">
        <v>127</v>
      </c>
      <c r="F8" s="21"/>
      <c r="G8" s="11" t="s">
        <v>17</v>
      </c>
      <c r="H8" s="10" t="s">
        <v>32</v>
      </c>
      <c r="I8" s="12" t="s">
        <v>33</v>
      </c>
    </row>
    <row r="9" spans="1:10">
      <c r="A9" s="17" t="s">
        <v>0</v>
      </c>
      <c r="B9" s="16" t="s">
        <v>14</v>
      </c>
      <c r="C9" s="11" t="s">
        <v>130</v>
      </c>
      <c r="D9" s="11" t="s">
        <v>129</v>
      </c>
      <c r="E9" s="21"/>
      <c r="F9" s="21"/>
      <c r="G9" s="11" t="s">
        <v>17</v>
      </c>
      <c r="H9" s="18" t="s">
        <v>16</v>
      </c>
      <c r="I9" s="17" t="s">
        <v>18</v>
      </c>
    </row>
    <row r="10" spans="1:10">
      <c r="A10" s="19" t="s">
        <v>2</v>
      </c>
      <c r="B10" s="20" t="s">
        <v>14</v>
      </c>
      <c r="C10" s="11" t="s">
        <v>131</v>
      </c>
      <c r="D10" s="11" t="s">
        <v>132</v>
      </c>
      <c r="E10" s="21"/>
      <c r="F10" s="21"/>
      <c r="G10" s="11" t="s">
        <v>17</v>
      </c>
      <c r="H10" s="13" t="s">
        <v>16</v>
      </c>
      <c r="I10" s="19" t="s">
        <v>18</v>
      </c>
    </row>
    <row r="11" spans="1:10">
      <c r="A11" s="19" t="s">
        <v>2</v>
      </c>
      <c r="B11" s="20" t="s">
        <v>15</v>
      </c>
      <c r="C11" s="11"/>
      <c r="D11" s="11"/>
      <c r="E11" s="21"/>
      <c r="F11" s="21"/>
      <c r="G11" s="11" t="s">
        <v>17</v>
      </c>
      <c r="H11" s="13" t="s">
        <v>16</v>
      </c>
      <c r="I11" s="19" t="s">
        <v>18</v>
      </c>
    </row>
    <row r="12" spans="1:10">
      <c r="A12" s="19" t="s">
        <v>25</v>
      </c>
      <c r="B12" s="20" t="s">
        <v>15</v>
      </c>
      <c r="C12" s="19" t="s">
        <v>133</v>
      </c>
      <c r="D12" s="20" t="s">
        <v>134</v>
      </c>
      <c r="E12" s="76"/>
      <c r="F12" s="76"/>
      <c r="G12" s="19" t="s">
        <v>17</v>
      </c>
      <c r="H12" s="20" t="s">
        <v>16</v>
      </c>
      <c r="I12" s="19" t="s">
        <v>18</v>
      </c>
    </row>
    <row r="13" spans="1:10">
      <c r="A13" s="12" t="s">
        <v>3</v>
      </c>
      <c r="B13" s="14" t="s">
        <v>20</v>
      </c>
      <c r="C13" s="12" t="s">
        <v>23</v>
      </c>
      <c r="D13" s="14" t="s">
        <v>24</v>
      </c>
      <c r="E13" s="77" t="s">
        <v>135</v>
      </c>
      <c r="F13" s="77" t="s">
        <v>148</v>
      </c>
      <c r="G13" s="9" t="s">
        <v>17</v>
      </c>
      <c r="H13" s="10" t="s">
        <v>16</v>
      </c>
      <c r="I13" s="12" t="s">
        <v>18</v>
      </c>
    </row>
    <row r="14" spans="1:10">
      <c r="A14" s="12" t="s">
        <v>1</v>
      </c>
      <c r="B14" s="14" t="s">
        <v>20</v>
      </c>
      <c r="C14" s="11" t="s">
        <v>21</v>
      </c>
      <c r="D14" s="12" t="s">
        <v>22</v>
      </c>
      <c r="E14" s="12" t="s">
        <v>126</v>
      </c>
      <c r="F14" s="78"/>
      <c r="G14" s="11" t="s">
        <v>17</v>
      </c>
      <c r="H14" s="10" t="s">
        <v>16</v>
      </c>
      <c r="I14" s="12" t="s">
        <v>18</v>
      </c>
    </row>
    <row r="15" spans="1:10">
      <c r="A15" s="12" t="s">
        <v>30</v>
      </c>
      <c r="B15" s="14" t="s">
        <v>20</v>
      </c>
      <c r="C15" s="11" t="s">
        <v>136</v>
      </c>
      <c r="D15" s="12" t="s">
        <v>31</v>
      </c>
      <c r="E15" s="78"/>
      <c r="F15" s="78"/>
      <c r="G15" s="11" t="s">
        <v>17</v>
      </c>
      <c r="H15" s="10" t="s">
        <v>16</v>
      </c>
      <c r="I15" s="12" t="s">
        <v>18</v>
      </c>
    </row>
    <row r="16" spans="1:10">
      <c r="A16" s="12" t="s">
        <v>45</v>
      </c>
      <c r="B16" s="14" t="s">
        <v>20</v>
      </c>
      <c r="C16" s="11" t="s">
        <v>137</v>
      </c>
      <c r="D16" s="12" t="s">
        <v>138</v>
      </c>
      <c r="E16" s="78"/>
      <c r="F16" s="78"/>
      <c r="G16" s="11" t="s">
        <v>17</v>
      </c>
      <c r="H16" s="10" t="s">
        <v>16</v>
      </c>
      <c r="I16" s="12" t="s">
        <v>18</v>
      </c>
    </row>
    <row r="17" spans="1:9">
      <c r="A17" s="12" t="s">
        <v>41</v>
      </c>
      <c r="B17" s="14" t="s">
        <v>20</v>
      </c>
      <c r="C17" s="11" t="s">
        <v>141</v>
      </c>
      <c r="D17" s="12" t="s">
        <v>142</v>
      </c>
      <c r="E17" s="78"/>
      <c r="F17" s="78"/>
      <c r="G17" s="11" t="s">
        <v>17</v>
      </c>
      <c r="H17" s="10" t="s">
        <v>16</v>
      </c>
      <c r="I17" s="12" t="s">
        <v>18</v>
      </c>
    </row>
    <row r="18" spans="1:9">
      <c r="A18" s="12" t="s">
        <v>139</v>
      </c>
      <c r="B18" s="14" t="s">
        <v>20</v>
      </c>
      <c r="C18" s="11" t="s">
        <v>143</v>
      </c>
      <c r="D18" s="12" t="s">
        <v>144</v>
      </c>
      <c r="E18" s="78"/>
      <c r="F18" s="78"/>
      <c r="G18" s="11" t="s">
        <v>17</v>
      </c>
      <c r="H18" s="10" t="s">
        <v>16</v>
      </c>
      <c r="I18" s="12" t="s">
        <v>18</v>
      </c>
    </row>
    <row r="19" spans="1:9">
      <c r="A19" s="12" t="s">
        <v>140</v>
      </c>
      <c r="B19" s="14" t="s">
        <v>20</v>
      </c>
      <c r="C19" s="11" t="s">
        <v>145</v>
      </c>
      <c r="D19" s="12" t="s">
        <v>146</v>
      </c>
      <c r="E19" s="78" t="s">
        <v>147</v>
      </c>
      <c r="F19" s="78"/>
      <c r="G19" s="11" t="s">
        <v>17</v>
      </c>
      <c r="H19" s="10" t="s">
        <v>16</v>
      </c>
      <c r="I19" s="12" t="s">
        <v>18</v>
      </c>
    </row>
  </sheetData>
  <sheetProtection selectLockedCells="1" selectUnlockedCells="1"/>
  <autoFilter ref="A6:I6" xr:uid="{B41E9B7B-1E26-452C-BAE4-D1F494339F3A}"/>
  <phoneticPr fontId="14" type="noConversion"/>
  <hyperlinks>
    <hyperlink ref="D7" r:id="rId1" xr:uid="{C044F0BE-2A83-4BD4-9FDA-0AE2E21980A4}"/>
    <hyperlink ref="E14" r:id="rId2" tooltip="mailto:vi-vidops@outbrain.com" display="mailto:vi-vidops@outbrain.com" xr:uid="{708EA1CD-6F27-4EA6-8D1E-350B45EAEDCF}"/>
  </hyperlinks>
  <pageMargins left="0" right="0" top="0.98402777777777772" bottom="0.98402777777777772" header="0.51180555555555551" footer="0.51180555555555551"/>
  <pageSetup paperSize="9" scale="50" firstPageNumber="0" orientation="landscape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1DB3-5A2A-440F-B6DE-85ACDB5036AC}">
  <sheetPr>
    <tabColor theme="8" tint="-0.499984740745262"/>
    <outlinePr summaryBelow="0"/>
  </sheetPr>
  <dimension ref="A2:AA46"/>
  <sheetViews>
    <sheetView showGridLines="0" zoomScale="124" zoomScaleNormal="124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B21" sqref="B21"/>
    </sheetView>
  </sheetViews>
  <sheetFormatPr baseColWidth="10" defaultRowHeight="12.75" outlineLevelRow="2"/>
  <cols>
    <col min="1" max="1" width="38.7109375" bestFit="1" customWidth="1"/>
    <col min="2" max="2" width="54" bestFit="1" customWidth="1"/>
    <col min="3" max="5" width="12.42578125" customWidth="1"/>
    <col min="6" max="6" width="14.42578125" customWidth="1"/>
    <col min="7" max="10" width="12.42578125" customWidth="1"/>
    <col min="11" max="11" width="15" customWidth="1"/>
    <col min="12" max="12" width="12.42578125" customWidth="1"/>
    <col min="13" max="13" width="11.7109375" customWidth="1"/>
    <col min="14" max="14" width="12.85546875" bestFit="1" customWidth="1"/>
    <col min="15" max="15" width="13.42578125" customWidth="1"/>
    <col min="16" max="17" width="11.85546875" customWidth="1"/>
    <col min="18" max="26" width="11.42578125" customWidth="1"/>
    <col min="27" max="27" width="11.42578125" bestFit="1" customWidth="1"/>
  </cols>
  <sheetData>
    <row r="2" spans="1:27" ht="21" customHeight="1">
      <c r="A2" s="133" t="s">
        <v>158</v>
      </c>
    </row>
    <row r="3" spans="1:27" ht="21" customHeight="1"/>
    <row r="4" spans="1:27" ht="21">
      <c r="A4" s="132" t="s">
        <v>7</v>
      </c>
      <c r="B4" s="131" t="s">
        <v>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9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91"/>
    </row>
    <row r="5" spans="1:27">
      <c r="A5" s="64" t="s">
        <v>82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30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30"/>
    </row>
    <row r="6" spans="1:27" outlineLevel="1">
      <c r="A6" s="38" t="s">
        <v>50</v>
      </c>
      <c r="B6" s="74" t="s">
        <v>181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3"/>
    </row>
    <row r="7" spans="1:27" outlineLevel="1">
      <c r="A7" s="38" t="s">
        <v>3</v>
      </c>
      <c r="B7" s="74" t="s">
        <v>182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3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3"/>
    </row>
    <row r="8" spans="1:27" outlineLevel="1">
      <c r="A8" s="38" t="s">
        <v>83</v>
      </c>
      <c r="B8" s="74" t="s">
        <v>183</v>
      </c>
      <c r="C8" s="217" t="s">
        <v>198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3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3"/>
    </row>
    <row r="9" spans="1:27" outlineLevel="1">
      <c r="A9" s="38" t="s">
        <v>84</v>
      </c>
      <c r="B9" s="74" t="s">
        <v>184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3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3"/>
    </row>
    <row r="10" spans="1:27">
      <c r="A10" s="39" t="s">
        <v>35</v>
      </c>
      <c r="B10" s="74" t="s">
        <v>185</v>
      </c>
      <c r="C10" s="74" t="s">
        <v>206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3"/>
      <c r="O10" s="74"/>
      <c r="P10" s="74"/>
      <c r="Q10" s="74"/>
      <c r="R10" s="74"/>
      <c r="S10" s="129"/>
      <c r="T10" s="74"/>
      <c r="U10" s="74"/>
      <c r="V10" s="74"/>
      <c r="W10" s="74"/>
      <c r="X10" s="74"/>
      <c r="Y10" s="74"/>
      <c r="Z10" s="74"/>
      <c r="AA10" s="73"/>
    </row>
    <row r="11" spans="1:27">
      <c r="A11" s="159" t="s">
        <v>201</v>
      </c>
      <c r="B11" s="74" t="s">
        <v>193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O11" s="155"/>
      <c r="P11" s="155"/>
      <c r="Q11" s="155"/>
      <c r="R11" s="155"/>
      <c r="S11" s="160"/>
      <c r="T11" s="155"/>
      <c r="U11" s="155"/>
      <c r="V11" s="155"/>
      <c r="W11" s="155"/>
      <c r="X11" s="155"/>
      <c r="Y11" s="155"/>
      <c r="Z11" s="155"/>
      <c r="AA11" s="156"/>
    </row>
    <row r="12" spans="1:27">
      <c r="A12" s="159" t="s">
        <v>202</v>
      </c>
      <c r="B12" s="155" t="s">
        <v>192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6"/>
      <c r="O12" s="155"/>
      <c r="P12" s="155"/>
      <c r="Q12" s="155"/>
      <c r="R12" s="155"/>
      <c r="S12" s="160"/>
      <c r="T12" s="155"/>
      <c r="U12" s="155"/>
      <c r="V12" s="155"/>
      <c r="W12" s="155"/>
      <c r="X12" s="155"/>
      <c r="Y12" s="155"/>
      <c r="Z12" s="155"/>
      <c r="AA12" s="156"/>
    </row>
    <row r="13" spans="1:27">
      <c r="A13" s="67" t="s">
        <v>85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30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30"/>
    </row>
    <row r="14" spans="1:27" outlineLevel="2">
      <c r="A14" s="37" t="s">
        <v>80</v>
      </c>
      <c r="B14" s="157" t="s">
        <v>190</v>
      </c>
      <c r="C14" s="74" t="s">
        <v>207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3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3"/>
    </row>
    <row r="15" spans="1:27" outlineLevel="2">
      <c r="A15" s="37" t="s">
        <v>46</v>
      </c>
      <c r="B15" s="74" t="s">
        <v>192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3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3"/>
    </row>
    <row r="16" spans="1:27" outlineLevel="2">
      <c r="A16" s="154" t="s">
        <v>194</v>
      </c>
      <c r="B16" s="74" t="s">
        <v>193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6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6"/>
    </row>
    <row r="17" spans="1:27" outlineLevel="2">
      <c r="A17" s="37" t="s">
        <v>86</v>
      </c>
      <c r="B17" s="74" t="s">
        <v>189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3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3"/>
    </row>
    <row r="18" spans="1:27" outlineLevel="1" collapsed="1">
      <c r="A18" s="37" t="s">
        <v>87</v>
      </c>
      <c r="B18" s="74" t="s">
        <v>191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3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3"/>
    </row>
    <row r="19" spans="1:27">
      <c r="A19" s="38" t="s">
        <v>88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3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3"/>
    </row>
    <row r="20" spans="1:27" outlineLevel="1">
      <c r="A20" s="37" t="s">
        <v>79</v>
      </c>
      <c r="B20" s="74" t="s">
        <v>190</v>
      </c>
      <c r="C20" s="74" t="s">
        <v>208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3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3"/>
    </row>
    <row r="21" spans="1:27" outlineLevel="1">
      <c r="A21" s="154" t="s">
        <v>195</v>
      </c>
      <c r="B21" s="173" t="s">
        <v>193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6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6"/>
    </row>
    <row r="22" spans="1:27" ht="17.25" outlineLevel="1">
      <c r="A22" s="154" t="s">
        <v>196</v>
      </c>
      <c r="B22" s="74" t="s">
        <v>192</v>
      </c>
      <c r="C22" s="155"/>
      <c r="D22" s="158"/>
      <c r="E22" s="155"/>
      <c r="F22" s="155"/>
      <c r="G22" s="155"/>
      <c r="H22" s="155"/>
      <c r="I22" s="155"/>
      <c r="J22" s="155"/>
      <c r="K22" s="155"/>
      <c r="L22" s="155"/>
      <c r="M22" s="155"/>
      <c r="N22" s="156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6"/>
    </row>
    <row r="23" spans="1:27" outlineLevel="1">
      <c r="A23" s="37" t="s">
        <v>89</v>
      </c>
      <c r="B23" s="74" t="s">
        <v>189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3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3"/>
    </row>
    <row r="24" spans="1:27" outlineLevel="1">
      <c r="A24" s="37" t="s">
        <v>90</v>
      </c>
      <c r="B24" s="74" t="s">
        <v>191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3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3"/>
    </row>
    <row r="25" spans="1:27">
      <c r="A25" s="67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30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30"/>
    </row>
    <row r="26" spans="1:27" outlineLevel="1">
      <c r="A26" s="38" t="s">
        <v>150</v>
      </c>
      <c r="B26" s="74" t="s">
        <v>188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3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3"/>
    </row>
    <row r="27" spans="1:27" outlineLevel="1">
      <c r="A27" s="38" t="s">
        <v>151</v>
      </c>
      <c r="B27" s="74" t="s">
        <v>187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3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3"/>
    </row>
    <row r="28" spans="1:27" outlineLevel="1">
      <c r="A28" s="38" t="s">
        <v>115</v>
      </c>
      <c r="B28" s="74" t="s">
        <v>198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3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3"/>
    </row>
    <row r="29" spans="1:27" outlineLevel="1">
      <c r="A29" s="38" t="s">
        <v>152</v>
      </c>
      <c r="B29" s="74" t="s">
        <v>197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3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3"/>
    </row>
    <row r="30" spans="1:27" outlineLevel="1">
      <c r="A30" s="38" t="s">
        <v>153</v>
      </c>
      <c r="B30" s="74" t="s">
        <v>200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3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3"/>
    </row>
    <row r="31" spans="1:27" outlineLevel="1">
      <c r="A31" s="38" t="s">
        <v>149</v>
      </c>
      <c r="B31" s="74" t="s">
        <v>199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3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3"/>
    </row>
    <row r="32" spans="1:27">
      <c r="A32" s="37" t="s">
        <v>91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3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3"/>
    </row>
    <row r="33" spans="1:27" outlineLevel="1">
      <c r="A33" s="38" t="s">
        <v>92</v>
      </c>
      <c r="B33" s="157" t="s">
        <v>190</v>
      </c>
      <c r="C33" s="74" t="s">
        <v>209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3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3"/>
    </row>
    <row r="34" spans="1:27" outlineLevel="1">
      <c r="A34" s="38" t="s">
        <v>93</v>
      </c>
      <c r="B34" s="74" t="s">
        <v>189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3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3"/>
    </row>
    <row r="35" spans="1:27" outlineLevel="1">
      <c r="A35" s="38" t="s">
        <v>94</v>
      </c>
      <c r="B35" s="74" t="s">
        <v>191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3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3"/>
    </row>
    <row r="36" spans="1:27">
      <c r="A36" s="37" t="s">
        <v>70</v>
      </c>
      <c r="B36" s="157" t="s">
        <v>212</v>
      </c>
      <c r="C36" s="74" t="s">
        <v>224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3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3"/>
    </row>
    <row r="37" spans="1:27">
      <c r="A37" s="67" t="s">
        <v>71</v>
      </c>
      <c r="B37" s="129" t="s">
        <v>186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30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30"/>
    </row>
    <row r="38" spans="1:27">
      <c r="A38" s="37" t="s">
        <v>102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3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3"/>
    </row>
    <row r="39" spans="1:27" outlineLevel="1">
      <c r="A39" s="38" t="s">
        <v>103</v>
      </c>
      <c r="B39" s="74" t="s">
        <v>204</v>
      </c>
      <c r="C39" s="74" t="s">
        <v>210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3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3"/>
    </row>
    <row r="40" spans="1:27" outlineLevel="1">
      <c r="A40" s="38" t="s">
        <v>74</v>
      </c>
      <c r="B40" s="74" t="s">
        <v>205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3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3"/>
    </row>
    <row r="41" spans="1:27">
      <c r="A41" s="67" t="s">
        <v>104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0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30"/>
    </row>
    <row r="42" spans="1:27" outlineLevel="1">
      <c r="A42" s="37" t="s">
        <v>105</v>
      </c>
      <c r="B42" s="157" t="s">
        <v>190</v>
      </c>
      <c r="C42" s="74" t="s">
        <v>211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3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3"/>
    </row>
    <row r="43" spans="1:27" outlineLevel="1">
      <c r="A43" s="154" t="s">
        <v>203</v>
      </c>
      <c r="B43" s="74" t="s">
        <v>193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6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6"/>
    </row>
    <row r="44" spans="1:27" outlineLevel="1">
      <c r="A44" s="37" t="s">
        <v>75</v>
      </c>
      <c r="B44" s="74" t="s">
        <v>189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3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3"/>
    </row>
    <row r="45" spans="1:27" outlineLevel="1">
      <c r="A45" s="37" t="s">
        <v>106</v>
      </c>
      <c r="B45" s="74" t="s">
        <v>191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3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3"/>
    </row>
    <row r="46" spans="1:27" collapsed="1">
      <c r="A46" s="37" t="s">
        <v>107</v>
      </c>
      <c r="B46" s="74" t="s">
        <v>189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3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3"/>
    </row>
  </sheetData>
  <conditionalFormatting sqref="A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B10" r:id="rId1" xr:uid="{BEA6B340-46C8-41F3-AF93-5E146946906C}"/>
    <hyperlink ref="B14" r:id="rId2" xr:uid="{838874B8-9DAB-4A3A-8699-47D9202790B4}"/>
    <hyperlink ref="B15" r:id="rId3" display="https://eur01.safelinks.protection.outlook.com/?url=https%3A%2F%2Fcdn.jwplayer.com%2Fv2%2Fplaylists%2FHWsN8kOs%3Fformat%3Dmrss&amp;data=05%7C01%7Claure.gardin%40dailymotion.com%7C0742d8bc94954780e54308dacbd4e828%7C37530da3f7a748f4ba462dc336d55387%7C0%7C0%7C638046412539444015%7CUnknown%7CTWFpbGZsb3d8eyJWIjoiMC4wLjAwMDAiLCJQIjoiV2luMzIiLCJBTiI6Ik1haWwiLCJXVCI6Mn0%3D%7C2000%7C%7C%7C&amp;sdata=xsGti1ijncpkPlFOb14He0A2YY%2B%2BMT%2F6qTDPit53qKg%3D&amp;reserved=0" xr:uid="{7DA3D3CB-2DAD-412C-8AA0-4CFBBBE3623C}"/>
    <hyperlink ref="B16" r:id="rId4" display="https://eur01.safelinks.protection.outlook.com/?url=https%3A%2F%2Fcdn.jwplayer.com%2Fv2%2Fplaylists%2Fd8pwWkSK%3Fformat%3Dmrss&amp;data=05%7C01%7Claure.gardin%40dailymotion.com%7C0742d8bc94954780e54308dacbd4e828%7C37530da3f7a748f4ba462dc336d55387%7C0%7C0%7C638046412539444015%7CUnknown%7CTWFpbGZsb3d8eyJWIjoiMC4wLjAwMDAiLCJQIjoiV2luMzIiLCJBTiI6Ik1haWwiLCJXVCI6Mn0%3D%7C2000%7C%7C%7C&amp;sdata=FROfM4Xjt2Q7OLstnII86bfFrEZfeZiGv6FNxvj6Z2Q%3D&amp;reserved=0" xr:uid="{135BA8F6-ABE6-4691-82AE-7E9ED43103DA}"/>
    <hyperlink ref="B22" r:id="rId5" xr:uid="{3B0E7ACF-F0A8-467E-99C6-789DAE047457}"/>
    <hyperlink ref="B33" r:id="rId6" xr:uid="{368D0DDC-E765-4DC2-A412-85F5FCBFAF48}"/>
    <hyperlink ref="B11" r:id="rId7" display="https://eur01.safelinks.protection.outlook.com/?url=https%3A%2F%2Fcdn.jwplayer.com%2Fv2%2Fplaylists%2Fd8pwWkSK%3Fformat%3Dmrss&amp;data=05%7C01%7Claure.gardin%40dailymotion.com%7C0742d8bc94954780e54308dacbd4e828%7C37530da3f7a748f4ba462dc336d55387%7C0%7C0%7C638046412539444015%7CUnknown%7CTWFpbGZsb3d8eyJWIjoiMC4wLjAwMDAiLCJQIjoiV2luMzIiLCJBTiI6Ik1haWwiLCJXVCI6Mn0%3D%7C2000%7C%7C%7C&amp;sdata=FROfM4Xjt2Q7OLstnII86bfFrEZfeZiGv6FNxvj6Z2Q%3D&amp;reserved=0" xr:uid="{0932BBF4-1471-4D43-A80E-573F84B78267}"/>
    <hyperlink ref="B36" r:id="rId8" xr:uid="{E3E9CE2E-6AA2-4D34-A058-879FA2CA9792}"/>
    <hyperlink ref="B45" r:id="rId9" xr:uid="{B50C1A42-936E-4AE3-BB51-D81E00FD28D7}"/>
    <hyperlink ref="B42" r:id="rId10" xr:uid="{B5A167AD-875A-446D-ACFB-FF4D95D289CE}"/>
    <hyperlink ref="B43" r:id="rId11" xr:uid="{A24A8BF6-8DE4-47AD-BC4A-89274CF6C4E9}"/>
    <hyperlink ref="B39" r:id="rId12" tooltip="http://freedr.promipool.de/google.xml" xr:uid="{52E52B25-D488-4DAA-B1C2-1E11D063E8AB}"/>
    <hyperlink ref="B40" r:id="rId13" tooltip="http://freedr.promipool.com/google.xml" xr:uid="{77561857-7D8F-4979-A6A9-AFF2162E3221}"/>
    <hyperlink ref="B21" r:id="rId14" xr:uid="{23432957-C46D-411B-8EE0-46BFAAA0FA5A}"/>
    <hyperlink ref="C8" r:id="rId15" xr:uid="{5C7CE195-B3B3-4FAF-A5DB-17F3037B5897}"/>
  </hyperlinks>
  <pageMargins left="0.7" right="0.7" top="0.78740157499999996" bottom="0.78740157499999996" header="0.3" footer="0.3"/>
  <pageSetup paperSize="9" orientation="portrait" horizontalDpi="4294967293" verticalDpi="4294967293" r:id="rId1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894A6-7A9C-4115-91E0-305389F48A84}">
  <sheetPr>
    <tabColor theme="8" tint="-0.499984740745262"/>
  </sheetPr>
  <dimension ref="A1:BP20"/>
  <sheetViews>
    <sheetView topLeftCell="AY1" workbookViewId="0">
      <selection activeCell="BK4" sqref="BK4:BK6"/>
    </sheetView>
  </sheetViews>
  <sheetFormatPr baseColWidth="10" defaultRowHeight="12.75" outlineLevelCol="1"/>
  <cols>
    <col min="1" max="23" width="0" hidden="1" customWidth="1" outlineLevel="1"/>
    <col min="24" max="24" width="11.42578125" collapsed="1"/>
    <col min="32" max="32" width="25.85546875" bestFit="1" customWidth="1"/>
    <col min="33" max="34" width="11.42578125" hidden="1" customWidth="1" outlineLevel="1"/>
    <col min="35" max="35" width="12.28515625" hidden="1" customWidth="1" outlineLevel="1"/>
    <col min="36" max="41" width="11.42578125" hidden="1" customWidth="1" outlineLevel="1"/>
    <col min="42" max="42" width="31.5703125" hidden="1" customWidth="1" outlineLevel="1"/>
    <col min="43" max="43" width="11.42578125" hidden="1" customWidth="1" outlineLevel="1"/>
    <col min="44" max="44" width="25.85546875" hidden="1" customWidth="1" outlineLevel="1"/>
    <col min="45" max="50" width="11.42578125" hidden="1" customWidth="1" outlineLevel="1"/>
    <col min="51" max="51" width="11.42578125" collapsed="1"/>
  </cols>
  <sheetData>
    <row r="1" spans="2:68" ht="30">
      <c r="B1" s="145" t="s">
        <v>162</v>
      </c>
      <c r="C1" s="146" t="s">
        <v>163</v>
      </c>
      <c r="D1" s="147" t="s">
        <v>164</v>
      </c>
      <c r="E1" s="148" t="s">
        <v>165</v>
      </c>
      <c r="F1" s="144"/>
      <c r="J1" s="162" t="s">
        <v>162</v>
      </c>
      <c r="K1" s="162" t="s">
        <v>163</v>
      </c>
      <c r="L1" s="163" t="s">
        <v>213</v>
      </c>
      <c r="M1" s="162" t="s">
        <v>165</v>
      </c>
      <c r="N1" s="164"/>
      <c r="O1" s="164"/>
      <c r="P1" s="164"/>
      <c r="Q1" s="199" t="s">
        <v>162</v>
      </c>
      <c r="R1" s="200" t="s">
        <v>163</v>
      </c>
      <c r="S1" s="201" t="s">
        <v>229</v>
      </c>
      <c r="T1" s="202" t="s">
        <v>165</v>
      </c>
      <c r="X1" s="199" t="s">
        <v>162</v>
      </c>
      <c r="Y1" s="200" t="s">
        <v>163</v>
      </c>
      <c r="Z1" s="201" t="s">
        <v>241</v>
      </c>
      <c r="AA1" s="202" t="s">
        <v>165</v>
      </c>
      <c r="AE1" s="199" t="s">
        <v>162</v>
      </c>
      <c r="AF1" s="200" t="s">
        <v>163</v>
      </c>
      <c r="AG1" s="201" t="s">
        <v>248</v>
      </c>
      <c r="AH1" s="202" t="s">
        <v>165</v>
      </c>
      <c r="AL1" s="199" t="s">
        <v>162</v>
      </c>
      <c r="AM1" s="200" t="s">
        <v>163</v>
      </c>
      <c r="AN1" s="201" t="s">
        <v>252</v>
      </c>
      <c r="AO1" s="202" t="s">
        <v>165</v>
      </c>
      <c r="AS1" s="131">
        <v>44927</v>
      </c>
      <c r="AT1" s="131">
        <v>44958</v>
      </c>
      <c r="AU1" s="131">
        <v>44986</v>
      </c>
      <c r="AV1" s="131">
        <v>45017</v>
      </c>
      <c r="AW1" s="131">
        <v>45047</v>
      </c>
      <c r="AX1" s="131">
        <v>45078</v>
      </c>
      <c r="AY1" s="131">
        <v>45108</v>
      </c>
      <c r="AZ1" s="131">
        <v>45139</v>
      </c>
      <c r="BA1" s="131">
        <v>45170</v>
      </c>
      <c r="BB1" s="131">
        <v>45200</v>
      </c>
      <c r="BC1" s="131">
        <v>45231</v>
      </c>
      <c r="BD1" s="131">
        <v>45261</v>
      </c>
      <c r="BE1" s="131">
        <v>45292</v>
      </c>
      <c r="BF1" s="131">
        <v>45323</v>
      </c>
      <c r="BG1" s="131">
        <v>45352</v>
      </c>
      <c r="BH1" s="131">
        <v>45383</v>
      </c>
      <c r="BI1" s="131">
        <v>45413</v>
      </c>
      <c r="BJ1" s="131">
        <v>45444</v>
      </c>
      <c r="BK1" s="131">
        <v>45474</v>
      </c>
      <c r="BL1" s="131">
        <v>45505</v>
      </c>
      <c r="BM1" s="131">
        <v>45536</v>
      </c>
      <c r="BN1" s="131">
        <v>45566</v>
      </c>
      <c r="BO1" s="131">
        <v>45597</v>
      </c>
      <c r="BP1" s="131">
        <v>45627</v>
      </c>
    </row>
    <row r="2" spans="2:68" ht="15">
      <c r="B2" s="144" t="s">
        <v>166</v>
      </c>
      <c r="C2" s="144">
        <v>6.0000000000000005E-2</v>
      </c>
      <c r="D2" s="151">
        <v>0</v>
      </c>
      <c r="E2" s="144">
        <v>6.0000000000000005E-2</v>
      </c>
      <c r="F2" s="149" t="s">
        <v>167</v>
      </c>
      <c r="J2" s="164" t="s">
        <v>166</v>
      </c>
      <c r="K2" s="164">
        <v>79.25</v>
      </c>
      <c r="L2" s="165">
        <v>79.25</v>
      </c>
      <c r="M2" s="164">
        <v>0</v>
      </c>
      <c r="N2" s="166" t="s">
        <v>214</v>
      </c>
      <c r="O2" s="164"/>
      <c r="P2" s="164"/>
      <c r="Q2" t="s">
        <v>166</v>
      </c>
      <c r="R2" s="203">
        <v>0.02</v>
      </c>
      <c r="S2" s="204">
        <v>0</v>
      </c>
      <c r="T2" s="205">
        <v>0.02</v>
      </c>
      <c r="U2" s="206" t="s">
        <v>176</v>
      </c>
      <c r="X2" s="210" t="s">
        <v>166</v>
      </c>
      <c r="Y2" s="211">
        <v>0.02</v>
      </c>
      <c r="Z2" s="212">
        <v>0</v>
      </c>
      <c r="AA2" s="213">
        <v>0.02</v>
      </c>
      <c r="AB2" s="206" t="s">
        <v>176</v>
      </c>
      <c r="AE2" t="s">
        <v>166</v>
      </c>
      <c r="AF2" s="203">
        <v>26.92</v>
      </c>
      <c r="AG2" s="204">
        <v>0</v>
      </c>
      <c r="AH2" s="205">
        <v>26.92</v>
      </c>
      <c r="AI2" s="206" t="s">
        <v>235</v>
      </c>
      <c r="AL2" t="s">
        <v>166</v>
      </c>
      <c r="AM2" s="203">
        <v>26.92</v>
      </c>
      <c r="AN2" s="204">
        <v>26.92</v>
      </c>
      <c r="AO2" s="205">
        <v>0</v>
      </c>
      <c r="AP2" s="206" t="s">
        <v>235</v>
      </c>
      <c r="AR2" s="64" t="s">
        <v>82</v>
      </c>
      <c r="AS2" s="44">
        <f>AS3+AS4+AS5+AS6</f>
        <v>8990.1699999999983</v>
      </c>
      <c r="AT2" s="44">
        <f t="shared" ref="AT2:BD2" si="0">AT3+AT4+AT5+AT6</f>
        <v>9306.64</v>
      </c>
      <c r="AU2" s="44">
        <f t="shared" si="0"/>
        <v>12431.369999999999</v>
      </c>
      <c r="AV2" s="161">
        <f t="shared" si="0"/>
        <v>8309.58</v>
      </c>
      <c r="AW2" s="44">
        <f t="shared" si="0"/>
        <v>6290.83</v>
      </c>
      <c r="AX2" s="44">
        <f t="shared" si="0"/>
        <v>10337.209999999999</v>
      </c>
      <c r="AY2" s="44">
        <f t="shared" si="0"/>
        <v>18041.060000000001</v>
      </c>
      <c r="AZ2" s="44">
        <f t="shared" si="0"/>
        <v>17383.030000000002</v>
      </c>
      <c r="BA2" s="44">
        <f t="shared" si="0"/>
        <v>11359.65</v>
      </c>
      <c r="BB2" s="44">
        <f t="shared" si="0"/>
        <v>7862.73</v>
      </c>
      <c r="BC2" s="44">
        <f t="shared" si="0"/>
        <v>6068.0999999999995</v>
      </c>
      <c r="BD2" s="44">
        <f t="shared" si="0"/>
        <v>5202.49</v>
      </c>
      <c r="BE2" s="44">
        <f>BE3+BE4+BE5+BE6</f>
        <v>3876.09</v>
      </c>
      <c r="BF2" s="44">
        <f t="shared" ref="BF2:BP2" si="1">BF3+BF4+BF5+BF6</f>
        <v>4856.25</v>
      </c>
      <c r="BG2" s="44">
        <f t="shared" si="1"/>
        <v>3663.12</v>
      </c>
      <c r="BH2" s="161">
        <f t="shared" si="1"/>
        <v>3874.2</v>
      </c>
      <c r="BI2" s="44">
        <f t="shared" si="1"/>
        <v>7668.65</v>
      </c>
      <c r="BJ2" s="44">
        <f t="shared" si="1"/>
        <v>11472.23</v>
      </c>
      <c r="BK2" s="44">
        <f t="shared" si="1"/>
        <v>11471.329999999998</v>
      </c>
      <c r="BL2" s="44">
        <f t="shared" si="1"/>
        <v>0</v>
      </c>
      <c r="BM2" s="44">
        <f t="shared" si="1"/>
        <v>0</v>
      </c>
      <c r="BN2" s="44">
        <f t="shared" si="1"/>
        <v>0</v>
      </c>
      <c r="BO2" s="44">
        <f t="shared" si="1"/>
        <v>0</v>
      </c>
      <c r="BP2" s="44">
        <f t="shared" si="1"/>
        <v>0</v>
      </c>
    </row>
    <row r="3" spans="2:68" ht="15">
      <c r="B3" s="144" t="s">
        <v>166</v>
      </c>
      <c r="C3" s="144">
        <v>1.9999999999999997E-2</v>
      </c>
      <c r="D3" s="151">
        <v>0</v>
      </c>
      <c r="E3" s="144">
        <v>1.9999999999999997E-2</v>
      </c>
      <c r="F3" s="149" t="s">
        <v>168</v>
      </c>
      <c r="J3" s="164" t="s">
        <v>166</v>
      </c>
      <c r="K3" s="164">
        <v>98.26</v>
      </c>
      <c r="L3" s="165">
        <v>98.26</v>
      </c>
      <c r="M3" s="164">
        <v>0</v>
      </c>
      <c r="N3" s="166" t="s">
        <v>215</v>
      </c>
      <c r="O3" s="164"/>
      <c r="P3" s="164"/>
      <c r="Q3" t="s">
        <v>166</v>
      </c>
      <c r="R3" s="203">
        <v>0.02</v>
      </c>
      <c r="S3" s="204">
        <v>0.02</v>
      </c>
      <c r="T3" s="205">
        <v>0</v>
      </c>
      <c r="U3" s="206" t="s">
        <v>230</v>
      </c>
      <c r="X3" s="210" t="s">
        <v>166</v>
      </c>
      <c r="Y3" s="211">
        <v>21.55</v>
      </c>
      <c r="Z3" s="212">
        <v>21.55</v>
      </c>
      <c r="AA3" s="213">
        <v>0</v>
      </c>
      <c r="AB3" s="206" t="s">
        <v>232</v>
      </c>
      <c r="AE3" t="s">
        <v>166</v>
      </c>
      <c r="AF3" s="203">
        <v>62.09</v>
      </c>
      <c r="AG3" s="204">
        <v>50.6</v>
      </c>
      <c r="AH3" s="205">
        <v>11.49</v>
      </c>
      <c r="AI3" s="206" t="s">
        <v>242</v>
      </c>
      <c r="AL3" t="s">
        <v>166</v>
      </c>
      <c r="AM3" s="203">
        <v>11.49</v>
      </c>
      <c r="AN3" s="204">
        <v>11.49</v>
      </c>
      <c r="AO3" s="205">
        <v>0</v>
      </c>
      <c r="AP3" s="206" t="s">
        <v>242</v>
      </c>
      <c r="AR3" s="38" t="s">
        <v>50</v>
      </c>
      <c r="AS3" s="44">
        <v>227.47</v>
      </c>
      <c r="AT3" s="44">
        <v>269.97000000000003</v>
      </c>
      <c r="AU3" s="44">
        <v>362.47</v>
      </c>
      <c r="AV3" s="44">
        <v>242.3</v>
      </c>
      <c r="AW3" s="44">
        <v>264.02999999999997</v>
      </c>
      <c r="AX3" s="44">
        <v>283.81</v>
      </c>
      <c r="AY3" s="44">
        <v>205.83</v>
      </c>
      <c r="AZ3" s="44">
        <v>197.56</v>
      </c>
      <c r="BA3" s="44">
        <v>446.25</v>
      </c>
      <c r="BB3" s="44">
        <v>654.19000000000005</v>
      </c>
      <c r="BC3" s="44">
        <v>576.33000000000004</v>
      </c>
      <c r="BD3" s="44">
        <v>756.61</v>
      </c>
      <c r="BE3" s="44">
        <v>296.74</v>
      </c>
      <c r="BF3" s="44">
        <v>332.64</v>
      </c>
      <c r="BG3" s="44">
        <v>391.91</v>
      </c>
      <c r="BH3" s="44">
        <v>239.57</v>
      </c>
      <c r="BI3" s="44">
        <v>143.21</v>
      </c>
      <c r="BJ3" s="44">
        <v>778.43</v>
      </c>
      <c r="BK3" s="44">
        <v>1952.57</v>
      </c>
      <c r="BL3" s="44"/>
      <c r="BM3" s="44"/>
      <c r="BN3" s="44"/>
      <c r="BO3" s="44"/>
      <c r="BP3" s="44"/>
    </row>
    <row r="4" spans="2:68" ht="15">
      <c r="B4" s="144" t="s">
        <v>166</v>
      </c>
      <c r="C4" s="144">
        <v>9.9999999999999985E-3</v>
      </c>
      <c r="D4" s="151">
        <v>0</v>
      </c>
      <c r="E4" s="144">
        <v>9.9999999999999985E-3</v>
      </c>
      <c r="F4" s="149" t="s">
        <v>169</v>
      </c>
      <c r="J4" s="164" t="s">
        <v>166</v>
      </c>
      <c r="K4" s="164">
        <v>211.97</v>
      </c>
      <c r="L4" s="165">
        <v>211.97</v>
      </c>
      <c r="M4" s="164">
        <v>0</v>
      </c>
      <c r="N4" s="166" t="s">
        <v>216</v>
      </c>
      <c r="O4" s="164"/>
      <c r="P4" s="164"/>
      <c r="Q4" t="s">
        <v>166</v>
      </c>
      <c r="R4" s="203">
        <v>581.19000000000005</v>
      </c>
      <c r="S4" s="204">
        <v>581.19000000000005</v>
      </c>
      <c r="T4" s="205">
        <v>0</v>
      </c>
      <c r="U4" s="206" t="s">
        <v>231</v>
      </c>
      <c r="X4" s="210" t="s">
        <v>166</v>
      </c>
      <c r="Y4" s="211">
        <v>1.28</v>
      </c>
      <c r="Z4" s="212">
        <v>1.28</v>
      </c>
      <c r="AA4" s="213">
        <v>0</v>
      </c>
      <c r="AB4" s="206" t="s">
        <v>234</v>
      </c>
      <c r="AE4" t="s">
        <v>166</v>
      </c>
      <c r="AF4" s="203">
        <v>11067.34</v>
      </c>
      <c r="AG4" s="204">
        <v>11055.25</v>
      </c>
      <c r="AH4" s="205">
        <v>12.09</v>
      </c>
      <c r="AI4" s="206" t="s">
        <v>243</v>
      </c>
      <c r="AL4" t="s">
        <v>166</v>
      </c>
      <c r="AM4" s="203">
        <v>12.09</v>
      </c>
      <c r="AN4" s="204">
        <v>12.09</v>
      </c>
      <c r="AO4" s="205">
        <v>0</v>
      </c>
      <c r="AP4" s="206" t="s">
        <v>243</v>
      </c>
      <c r="AR4" s="38" t="s">
        <v>3</v>
      </c>
      <c r="AS4" s="44">
        <v>2.84</v>
      </c>
      <c r="AT4" s="44">
        <v>12.99</v>
      </c>
      <c r="AU4" s="44">
        <v>66.680000000000007</v>
      </c>
      <c r="AV4" s="44">
        <v>48.52</v>
      </c>
      <c r="AW4" s="44">
        <v>27.42</v>
      </c>
      <c r="AX4" s="44">
        <v>5026.8999999999996</v>
      </c>
      <c r="AY4" s="44">
        <v>6595.28</v>
      </c>
      <c r="AZ4" s="44">
        <v>7509.07</v>
      </c>
      <c r="BA4" s="44">
        <v>7069.31</v>
      </c>
      <c r="BB4" s="44">
        <v>4232.8999999999996</v>
      </c>
      <c r="BC4" s="44">
        <v>4231.32</v>
      </c>
      <c r="BD4" s="44">
        <v>2962.49</v>
      </c>
      <c r="BE4" s="44">
        <v>2339.21</v>
      </c>
      <c r="BF4" s="44">
        <v>2473.91</v>
      </c>
      <c r="BG4" s="44">
        <v>1878.73</v>
      </c>
      <c r="BH4" s="44">
        <v>742.81</v>
      </c>
      <c r="BI4" s="44">
        <v>910.11</v>
      </c>
      <c r="BJ4" s="44">
        <v>450.8</v>
      </c>
      <c r="BK4" s="44">
        <v>544.66</v>
      </c>
      <c r="BL4" s="44"/>
      <c r="BM4" s="44"/>
      <c r="BN4" s="44"/>
      <c r="BO4" s="44"/>
      <c r="BP4" s="44"/>
    </row>
    <row r="5" spans="2:68" ht="15">
      <c r="B5" s="144" t="s">
        <v>166</v>
      </c>
      <c r="C5" s="144">
        <v>0.01</v>
      </c>
      <c r="D5" s="151">
        <v>0</v>
      </c>
      <c r="E5" s="144">
        <v>0.01</v>
      </c>
      <c r="F5" s="149" t="s">
        <v>170</v>
      </c>
      <c r="J5" s="164" t="s">
        <v>166</v>
      </c>
      <c r="K5" s="164">
        <v>11022.44</v>
      </c>
      <c r="L5" s="165">
        <v>11022.42</v>
      </c>
      <c r="M5" s="164">
        <v>0.02</v>
      </c>
      <c r="N5" s="166" t="s">
        <v>217</v>
      </c>
      <c r="O5" s="164"/>
      <c r="P5" s="164"/>
      <c r="Q5" t="s">
        <v>166</v>
      </c>
      <c r="R5" s="203">
        <v>9020.51</v>
      </c>
      <c r="S5" s="204">
        <v>8998.9600000000009</v>
      </c>
      <c r="T5" s="205">
        <v>21.549999999999997</v>
      </c>
      <c r="U5" s="206" t="s">
        <v>232</v>
      </c>
      <c r="X5" s="210" t="s">
        <v>166</v>
      </c>
      <c r="Y5" s="211">
        <v>478.96000000000004</v>
      </c>
      <c r="Z5" s="212">
        <v>452.04</v>
      </c>
      <c r="AA5" s="213">
        <v>26.92</v>
      </c>
      <c r="AB5" s="206" t="s">
        <v>235</v>
      </c>
      <c r="AE5" t="s">
        <v>166</v>
      </c>
      <c r="AF5" s="203">
        <v>17105.77</v>
      </c>
      <c r="AG5" s="204">
        <v>17089.41</v>
      </c>
      <c r="AH5" s="205">
        <v>16.36</v>
      </c>
      <c r="AI5" s="206" t="s">
        <v>244</v>
      </c>
      <c r="AL5" t="s">
        <v>166</v>
      </c>
      <c r="AM5" s="203">
        <v>16.36</v>
      </c>
      <c r="AN5" s="204">
        <v>16.36</v>
      </c>
      <c r="AO5" s="205">
        <v>0</v>
      </c>
      <c r="AP5" s="206" t="s">
        <v>244</v>
      </c>
      <c r="AR5" s="38" t="s">
        <v>83</v>
      </c>
      <c r="AS5" s="44">
        <v>8549.9599999999991</v>
      </c>
      <c r="AT5" s="44">
        <v>8963.73</v>
      </c>
      <c r="AU5" s="44">
        <v>11976.75</v>
      </c>
      <c r="AV5" s="44">
        <v>8003.42</v>
      </c>
      <c r="AW5" s="44">
        <v>5884</v>
      </c>
      <c r="AX5" s="44">
        <v>4697.4399999999996</v>
      </c>
      <c r="AY5" s="44">
        <v>10575.36</v>
      </c>
      <c r="AZ5" s="44">
        <v>8255</v>
      </c>
      <c r="BA5" s="44">
        <v>3371.13</v>
      </c>
      <c r="BB5" s="44">
        <v>2414.06</v>
      </c>
      <c r="BC5" s="44">
        <v>789.62</v>
      </c>
      <c r="BD5" s="44">
        <v>1295.72</v>
      </c>
      <c r="BE5" s="44">
        <v>1072.4000000000001</v>
      </c>
      <c r="BF5" s="44">
        <v>2016.45</v>
      </c>
      <c r="BG5" s="44">
        <v>1346.9</v>
      </c>
      <c r="BH5" s="44">
        <v>2823.53</v>
      </c>
      <c r="BI5" s="44">
        <v>6516.42</v>
      </c>
      <c r="BJ5" s="44">
        <v>10117.950000000001</v>
      </c>
      <c r="BK5" s="44">
        <v>8877.5499999999993</v>
      </c>
      <c r="BL5" s="44"/>
      <c r="BM5" s="44"/>
      <c r="BN5" s="44"/>
      <c r="BO5" s="44"/>
      <c r="BP5" s="44"/>
    </row>
    <row r="6" spans="2:68" ht="15">
      <c r="B6" s="144" t="s">
        <v>166</v>
      </c>
      <c r="C6" s="144">
        <v>1.9999999999999997E-2</v>
      </c>
      <c r="D6" s="151">
        <v>1.9999999999999997E-2</v>
      </c>
      <c r="E6" s="144"/>
      <c r="F6" s="149" t="s">
        <v>171</v>
      </c>
      <c r="J6" s="164" t="s">
        <v>166</v>
      </c>
      <c r="K6" s="164">
        <v>6046.34</v>
      </c>
      <c r="L6" s="165">
        <v>6046.32</v>
      </c>
      <c r="M6" s="164">
        <v>0.02</v>
      </c>
      <c r="N6" s="166" t="s">
        <v>218</v>
      </c>
      <c r="O6" s="164"/>
      <c r="P6" s="164"/>
      <c r="Q6" t="s">
        <v>166</v>
      </c>
      <c r="R6" s="203">
        <v>12174.96</v>
      </c>
      <c r="S6" s="204">
        <v>12174.96</v>
      </c>
      <c r="T6" s="205">
        <v>0</v>
      </c>
      <c r="U6" s="206" t="s">
        <v>233</v>
      </c>
      <c r="X6" s="210" t="s">
        <v>166</v>
      </c>
      <c r="Y6" s="211">
        <v>10054.089999999998</v>
      </c>
      <c r="Z6" s="212">
        <v>9991.9999999999982</v>
      </c>
      <c r="AA6" s="213">
        <v>62.09</v>
      </c>
      <c r="AB6" s="206" t="s">
        <v>242</v>
      </c>
      <c r="AE6" t="s">
        <v>166</v>
      </c>
      <c r="AF6" s="203">
        <v>10914.04</v>
      </c>
      <c r="AG6" s="204">
        <v>7128.2100000000009</v>
      </c>
      <c r="AH6" s="205">
        <v>3785.83</v>
      </c>
      <c r="AI6" s="206" t="s">
        <v>249</v>
      </c>
      <c r="AL6" t="s">
        <v>166</v>
      </c>
      <c r="AM6" s="203">
        <v>3785.8299999999995</v>
      </c>
      <c r="AN6" s="204">
        <v>3784.9399999999996</v>
      </c>
      <c r="AO6" s="205">
        <v>0.89</v>
      </c>
      <c r="AP6" s="206" t="s">
        <v>249</v>
      </c>
      <c r="AR6" s="38" t="s">
        <v>84</v>
      </c>
      <c r="AS6" s="44">
        <v>209.9</v>
      </c>
      <c r="AT6" s="44">
        <v>59.95</v>
      </c>
      <c r="AU6" s="44">
        <v>25.47</v>
      </c>
      <c r="AV6" s="44">
        <v>15.34</v>
      </c>
      <c r="AW6" s="44">
        <v>115.38</v>
      </c>
      <c r="AX6" s="44">
        <v>329.06</v>
      </c>
      <c r="AY6" s="44">
        <v>664.59</v>
      </c>
      <c r="AZ6" s="44">
        <v>1421.4</v>
      </c>
      <c r="BA6" s="44">
        <v>472.96</v>
      </c>
      <c r="BB6" s="44">
        <v>561.58000000000004</v>
      </c>
      <c r="BC6" s="44">
        <v>470.83</v>
      </c>
      <c r="BD6" s="44">
        <v>187.67</v>
      </c>
      <c r="BE6" s="44">
        <v>167.74</v>
      </c>
      <c r="BF6" s="44">
        <v>33.25</v>
      </c>
      <c r="BG6" s="44">
        <v>45.58</v>
      </c>
      <c r="BH6" s="44">
        <v>68.290000000000006</v>
      </c>
      <c r="BI6" s="44">
        <v>98.91</v>
      </c>
      <c r="BJ6" s="44">
        <v>125.05</v>
      </c>
      <c r="BK6" s="44">
        <v>96.55</v>
      </c>
      <c r="BL6" s="44"/>
      <c r="BM6" s="44"/>
      <c r="BN6" s="44"/>
      <c r="BO6" s="44"/>
      <c r="BP6" s="44"/>
    </row>
    <row r="7" spans="2:68" ht="15">
      <c r="B7" s="144" t="s">
        <v>166</v>
      </c>
      <c r="C7" s="144">
        <v>12.400000000000002</v>
      </c>
      <c r="D7" s="151">
        <v>12.400000000000002</v>
      </c>
      <c r="E7" s="144"/>
      <c r="F7" s="149" t="s">
        <v>172</v>
      </c>
      <c r="J7" s="164" t="s">
        <v>166</v>
      </c>
      <c r="K7" s="164">
        <v>8762.84</v>
      </c>
      <c r="L7" s="165">
        <v>8181.65</v>
      </c>
      <c r="M7" s="164">
        <v>581.19000000000005</v>
      </c>
      <c r="N7" s="166" t="s">
        <v>219</v>
      </c>
      <c r="O7" s="164"/>
      <c r="P7" s="164"/>
      <c r="Q7" t="s">
        <v>166</v>
      </c>
      <c r="R7" s="203">
        <v>8067.92</v>
      </c>
      <c r="S7" s="204">
        <v>8066.64</v>
      </c>
      <c r="T7" s="205">
        <v>1.2799999999999998</v>
      </c>
      <c r="U7" s="206" t="s">
        <v>234</v>
      </c>
      <c r="X7" s="210" t="s">
        <v>166</v>
      </c>
      <c r="Y7" s="211">
        <v>17837.05</v>
      </c>
      <c r="Z7" s="212">
        <v>6769.71</v>
      </c>
      <c r="AA7" s="213">
        <v>11067.34</v>
      </c>
      <c r="AB7" s="206" t="s">
        <v>243</v>
      </c>
      <c r="AE7" t="s">
        <v>166</v>
      </c>
      <c r="AF7" s="203">
        <v>7215.1</v>
      </c>
      <c r="AG7" s="204">
        <v>6527</v>
      </c>
      <c r="AH7" s="205">
        <v>688.09999999999991</v>
      </c>
      <c r="AI7" s="206" t="s">
        <v>250</v>
      </c>
      <c r="AL7" t="s">
        <v>166</v>
      </c>
      <c r="AM7" s="203">
        <v>688.09999999999991</v>
      </c>
      <c r="AN7" s="204">
        <v>688.09999999999991</v>
      </c>
      <c r="AO7" s="205">
        <v>0</v>
      </c>
      <c r="AP7" s="206" t="s">
        <v>250</v>
      </c>
      <c r="BA7" s="44"/>
    </row>
    <row r="8" spans="2:68" ht="15">
      <c r="B8" s="144" t="s">
        <v>166</v>
      </c>
      <c r="C8" s="144">
        <v>700.99</v>
      </c>
      <c r="D8" s="151">
        <v>621.74</v>
      </c>
      <c r="E8" s="144">
        <v>79.250000000000014</v>
      </c>
      <c r="F8" s="149" t="s">
        <v>173</v>
      </c>
      <c r="J8" s="164" t="s">
        <v>166</v>
      </c>
      <c r="K8" s="164">
        <v>9021.02</v>
      </c>
      <c r="L8" s="165">
        <v>0.51</v>
      </c>
      <c r="M8" s="164">
        <v>9020.51</v>
      </c>
      <c r="N8" s="166" t="s">
        <v>220</v>
      </c>
      <c r="O8" s="164"/>
      <c r="P8" s="164"/>
      <c r="Q8" t="s">
        <v>166</v>
      </c>
      <c r="R8" s="203">
        <v>6079.6100000000006</v>
      </c>
      <c r="S8" s="204">
        <v>5600.6500000000005</v>
      </c>
      <c r="T8" s="205">
        <v>478.96</v>
      </c>
      <c r="U8" s="206" t="s">
        <v>235</v>
      </c>
      <c r="X8" s="210" t="s">
        <v>166</v>
      </c>
      <c r="Y8" s="211">
        <v>17186.77</v>
      </c>
      <c r="Z8" s="212">
        <v>81</v>
      </c>
      <c r="AA8" s="213">
        <v>17105.77</v>
      </c>
      <c r="AB8" s="206" t="s">
        <v>244</v>
      </c>
      <c r="AE8" t="s">
        <v>166</v>
      </c>
      <c r="AF8" s="203">
        <v>5498.29</v>
      </c>
      <c r="AG8" s="204">
        <v>1.49</v>
      </c>
      <c r="AH8" s="205">
        <v>5496.8</v>
      </c>
      <c r="AI8" s="206" t="s">
        <v>251</v>
      </c>
      <c r="AL8" t="s">
        <v>166</v>
      </c>
      <c r="AM8" s="203">
        <v>5496.7999999999993</v>
      </c>
      <c r="AN8" s="204">
        <v>5496.07</v>
      </c>
      <c r="AO8" s="205">
        <v>0.73</v>
      </c>
      <c r="AP8" s="206" t="s">
        <v>251</v>
      </c>
      <c r="AR8" s="218" t="s">
        <v>247</v>
      </c>
      <c r="AS8" s="219">
        <v>1.1000000000000001</v>
      </c>
      <c r="AT8" s="219">
        <v>1.0900000000000001</v>
      </c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>
        <v>1.0900000000000001</v>
      </c>
      <c r="BF8" s="44">
        <v>1.08</v>
      </c>
      <c r="BG8" s="44">
        <v>1.08</v>
      </c>
    </row>
    <row r="9" spans="2:68" ht="15">
      <c r="B9" s="144" t="s">
        <v>166</v>
      </c>
      <c r="C9" s="144">
        <v>1588.44</v>
      </c>
      <c r="D9" s="151">
        <v>1490.18</v>
      </c>
      <c r="E9" s="144">
        <v>98.259999999999991</v>
      </c>
      <c r="F9" s="149" t="s">
        <v>174</v>
      </c>
      <c r="J9" s="167" t="s">
        <v>177</v>
      </c>
      <c r="K9" s="164">
        <v>27.68</v>
      </c>
      <c r="L9" s="165">
        <v>0</v>
      </c>
      <c r="M9" s="164">
        <v>27.68</v>
      </c>
      <c r="N9" s="166" t="s">
        <v>221</v>
      </c>
      <c r="O9" s="164"/>
      <c r="P9" s="164"/>
      <c r="Q9" t="s">
        <v>177</v>
      </c>
      <c r="R9" s="203">
        <v>27.679999999999996</v>
      </c>
      <c r="S9" s="204">
        <v>0</v>
      </c>
      <c r="T9" s="205">
        <v>27.679999999999996</v>
      </c>
      <c r="U9" s="206" t="s">
        <v>178</v>
      </c>
      <c r="X9" s="210" t="s">
        <v>177</v>
      </c>
      <c r="Y9" s="211">
        <v>27.68</v>
      </c>
      <c r="Z9" s="212">
        <v>0</v>
      </c>
      <c r="AA9" s="213">
        <v>27.68</v>
      </c>
      <c r="AB9" s="206" t="s">
        <v>178</v>
      </c>
      <c r="AE9" t="s">
        <v>177</v>
      </c>
      <c r="AF9" s="203">
        <v>27.68</v>
      </c>
      <c r="AG9" s="204">
        <v>27.68</v>
      </c>
      <c r="AH9" s="205">
        <v>0</v>
      </c>
      <c r="AI9" s="206" t="s">
        <v>178</v>
      </c>
      <c r="AL9" t="s">
        <v>166</v>
      </c>
      <c r="AM9" s="203">
        <v>4448.7700000000004</v>
      </c>
      <c r="AN9" s="204">
        <v>4397.46</v>
      </c>
      <c r="AO9" s="205">
        <v>51.31</v>
      </c>
      <c r="AP9" s="206" t="s">
        <v>253</v>
      </c>
      <c r="AR9" s="218" t="s">
        <v>108</v>
      </c>
      <c r="AS9" s="216">
        <f>(AS3+AS4)/AS8</f>
        <v>209.37272727272725</v>
      </c>
      <c r="AT9" s="216">
        <f>(AT3+AT4)/AT8</f>
        <v>259.59633027522938</v>
      </c>
      <c r="AU9" s="216" t="e">
        <f t="shared" ref="AU9:BE9" si="2">(AU3+AU4)/AU8</f>
        <v>#DIV/0!</v>
      </c>
      <c r="AV9" s="216" t="e">
        <f t="shared" si="2"/>
        <v>#DIV/0!</v>
      </c>
      <c r="AW9" s="216" t="e">
        <f t="shared" si="2"/>
        <v>#DIV/0!</v>
      </c>
      <c r="AX9" s="216" t="e">
        <f t="shared" si="2"/>
        <v>#DIV/0!</v>
      </c>
      <c r="AY9" s="216" t="e">
        <f t="shared" si="2"/>
        <v>#DIV/0!</v>
      </c>
      <c r="AZ9" s="216" t="e">
        <f t="shared" si="2"/>
        <v>#DIV/0!</v>
      </c>
      <c r="BA9" s="216" t="e">
        <f t="shared" si="2"/>
        <v>#DIV/0!</v>
      </c>
      <c r="BB9" s="216" t="e">
        <f t="shared" si="2"/>
        <v>#DIV/0!</v>
      </c>
      <c r="BC9" s="216" t="e">
        <f t="shared" si="2"/>
        <v>#DIV/0!</v>
      </c>
      <c r="BD9" s="216" t="e">
        <f t="shared" si="2"/>
        <v>#DIV/0!</v>
      </c>
      <c r="BE9" s="216">
        <f t="shared" si="2"/>
        <v>2418.3027522935777</v>
      </c>
      <c r="BF9" s="216">
        <f>(BF3+BF4)/BF8</f>
        <v>2598.6574074074069</v>
      </c>
      <c r="BG9" s="216">
        <f>(BG3+BG4)/BG8</f>
        <v>2102.4444444444443</v>
      </c>
    </row>
    <row r="10" spans="2:68" ht="15">
      <c r="B10" s="144" t="s">
        <v>166</v>
      </c>
      <c r="C10" s="144">
        <v>7170.5599999999995</v>
      </c>
      <c r="D10" s="151">
        <v>6958.5899999999992</v>
      </c>
      <c r="E10" s="144">
        <v>211.97</v>
      </c>
      <c r="F10" s="149" t="s">
        <v>175</v>
      </c>
      <c r="J10" s="167" t="s">
        <v>177</v>
      </c>
      <c r="K10" s="164">
        <v>14.69</v>
      </c>
      <c r="L10" s="165">
        <v>0</v>
      </c>
      <c r="M10" s="164">
        <v>14.69</v>
      </c>
      <c r="N10" s="166" t="s">
        <v>222</v>
      </c>
      <c r="O10" s="164"/>
      <c r="P10" s="164"/>
      <c r="Q10" t="s">
        <v>177</v>
      </c>
      <c r="R10" s="203">
        <v>14.689999999999998</v>
      </c>
      <c r="S10" s="204">
        <v>0</v>
      </c>
      <c r="T10" s="205">
        <v>14.689999999999998</v>
      </c>
      <c r="U10" s="206" t="s">
        <v>179</v>
      </c>
      <c r="X10" s="210" t="s">
        <v>177</v>
      </c>
      <c r="Y10" s="211">
        <v>14.69</v>
      </c>
      <c r="Z10" s="212">
        <v>0</v>
      </c>
      <c r="AA10" s="213">
        <v>14.69</v>
      </c>
      <c r="AB10" s="206" t="s">
        <v>179</v>
      </c>
      <c r="AE10" t="s">
        <v>177</v>
      </c>
      <c r="AF10" s="203">
        <v>11.42</v>
      </c>
      <c r="AG10" s="204">
        <v>11.42</v>
      </c>
      <c r="AH10" s="205">
        <v>0</v>
      </c>
      <c r="AI10" s="206" t="s">
        <v>244</v>
      </c>
      <c r="AL10" t="s">
        <v>166</v>
      </c>
      <c r="AM10" s="203">
        <v>3583.9900000000002</v>
      </c>
      <c r="AN10" s="204">
        <v>2485.15</v>
      </c>
      <c r="AO10" s="205">
        <v>1098.8400000000001</v>
      </c>
      <c r="AP10" s="206" t="s">
        <v>254</v>
      </c>
      <c r="AR10" s="218" t="s">
        <v>15</v>
      </c>
      <c r="AS10" s="216">
        <f>AS5/AS8</f>
        <v>7772.6909090909076</v>
      </c>
      <c r="AT10" s="216">
        <f>AT5/AT8</f>
        <v>8223.6055045871544</v>
      </c>
      <c r="AU10" s="216" t="e">
        <f t="shared" ref="AU10:BE10" si="3">AU5/AU8</f>
        <v>#DIV/0!</v>
      </c>
      <c r="AV10" s="216" t="e">
        <f t="shared" si="3"/>
        <v>#DIV/0!</v>
      </c>
      <c r="AW10" s="216" t="e">
        <f t="shared" si="3"/>
        <v>#DIV/0!</v>
      </c>
      <c r="AX10" s="216" t="e">
        <f t="shared" si="3"/>
        <v>#DIV/0!</v>
      </c>
      <c r="AY10" s="216" t="e">
        <f t="shared" si="3"/>
        <v>#DIV/0!</v>
      </c>
      <c r="AZ10" s="216" t="e">
        <f t="shared" si="3"/>
        <v>#DIV/0!</v>
      </c>
      <c r="BA10" s="216" t="e">
        <f t="shared" si="3"/>
        <v>#DIV/0!</v>
      </c>
      <c r="BB10" s="216" t="e">
        <f t="shared" si="3"/>
        <v>#DIV/0!</v>
      </c>
      <c r="BC10" s="216" t="e">
        <f t="shared" si="3"/>
        <v>#DIV/0!</v>
      </c>
      <c r="BD10" s="216" t="e">
        <f t="shared" si="3"/>
        <v>#DIV/0!</v>
      </c>
      <c r="BE10" s="216">
        <f t="shared" si="3"/>
        <v>983.85321100917429</v>
      </c>
      <c r="BF10" s="216">
        <f>BF5/BF8</f>
        <v>1867.0833333333333</v>
      </c>
      <c r="BG10" s="216">
        <f>BG5/BG8</f>
        <v>1247.1296296296296</v>
      </c>
    </row>
    <row r="11" spans="2:68" ht="15">
      <c r="B11" s="144" t="s">
        <v>166</v>
      </c>
      <c r="C11" s="144">
        <v>11022.44</v>
      </c>
      <c r="D11" s="151">
        <v>0</v>
      </c>
      <c r="E11" s="144">
        <v>11022.44</v>
      </c>
      <c r="F11" s="149" t="s">
        <v>176</v>
      </c>
      <c r="J11" s="167" t="s">
        <v>177</v>
      </c>
      <c r="K11" s="164">
        <v>5.26</v>
      </c>
      <c r="L11" s="165">
        <v>0</v>
      </c>
      <c r="M11" s="164">
        <v>5.26</v>
      </c>
      <c r="N11" s="166" t="s">
        <v>223</v>
      </c>
      <c r="O11" s="164"/>
      <c r="P11" s="164"/>
      <c r="Q11" t="s">
        <v>177</v>
      </c>
      <c r="R11" s="203">
        <v>5.26</v>
      </c>
      <c r="S11" s="204">
        <v>0</v>
      </c>
      <c r="T11" s="205">
        <v>5.26</v>
      </c>
      <c r="U11" s="206" t="s">
        <v>180</v>
      </c>
      <c r="X11" s="210" t="s">
        <v>177</v>
      </c>
      <c r="Y11" s="211">
        <v>5.26</v>
      </c>
      <c r="Z11" s="212">
        <v>0</v>
      </c>
      <c r="AA11" s="213">
        <v>5.26</v>
      </c>
      <c r="AB11" s="206" t="s">
        <v>180</v>
      </c>
      <c r="AE11" t="s">
        <v>177</v>
      </c>
      <c r="AF11" s="203">
        <v>446.25</v>
      </c>
      <c r="AG11" s="204">
        <v>446.25</v>
      </c>
      <c r="AH11" s="205">
        <v>0</v>
      </c>
      <c r="AI11" s="206" t="s">
        <v>249</v>
      </c>
      <c r="AL11" t="s">
        <v>166</v>
      </c>
      <c r="AM11" s="203">
        <v>4523.62</v>
      </c>
      <c r="AN11" s="204">
        <v>0.16</v>
      </c>
      <c r="AO11" s="205">
        <v>4523.46</v>
      </c>
      <c r="AP11" s="206" t="s">
        <v>255</v>
      </c>
      <c r="AR11" s="218" t="s">
        <v>109</v>
      </c>
      <c r="AS11" s="216">
        <f>AS6/AS8</f>
        <v>190.81818181818181</v>
      </c>
      <c r="AT11" s="216">
        <f>AT6/AT8</f>
        <v>55</v>
      </c>
      <c r="AU11" s="216" t="e">
        <f t="shared" ref="AU11:BE11" si="4">AU6/AU8</f>
        <v>#DIV/0!</v>
      </c>
      <c r="AV11" s="216" t="e">
        <f t="shared" si="4"/>
        <v>#DIV/0!</v>
      </c>
      <c r="AW11" s="216" t="e">
        <f t="shared" si="4"/>
        <v>#DIV/0!</v>
      </c>
      <c r="AX11" s="216" t="e">
        <f t="shared" si="4"/>
        <v>#DIV/0!</v>
      </c>
      <c r="AY11" s="216" t="e">
        <f t="shared" si="4"/>
        <v>#DIV/0!</v>
      </c>
      <c r="AZ11" s="216" t="e">
        <f t="shared" si="4"/>
        <v>#DIV/0!</v>
      </c>
      <c r="BA11" s="216" t="e">
        <f t="shared" si="4"/>
        <v>#DIV/0!</v>
      </c>
      <c r="BB11" s="216" t="e">
        <f t="shared" si="4"/>
        <v>#DIV/0!</v>
      </c>
      <c r="BC11" s="216" t="e">
        <f t="shared" si="4"/>
        <v>#DIV/0!</v>
      </c>
      <c r="BD11" s="216" t="e">
        <f t="shared" si="4"/>
        <v>#DIV/0!</v>
      </c>
      <c r="BE11" s="216">
        <f t="shared" si="4"/>
        <v>153.88990825688074</v>
      </c>
      <c r="BF11" s="216">
        <f>BF6/BF8</f>
        <v>30.787037037037035</v>
      </c>
      <c r="BG11" s="216">
        <f>BG6/BG8</f>
        <v>42.203703703703702</v>
      </c>
    </row>
    <row r="12" spans="2:68" ht="15">
      <c r="B12" s="144" t="s">
        <v>177</v>
      </c>
      <c r="C12" s="144">
        <v>27.679999999999996</v>
      </c>
      <c r="D12" s="151"/>
      <c r="E12" s="144">
        <v>27.679999999999996</v>
      </c>
      <c r="F12" s="149" t="s">
        <v>178</v>
      </c>
      <c r="J12" s="167" t="s">
        <v>177</v>
      </c>
      <c r="K12" s="164">
        <v>267.10000000000002</v>
      </c>
      <c r="L12" s="165">
        <v>267.10000000000002</v>
      </c>
      <c r="M12" s="164">
        <v>0</v>
      </c>
      <c r="N12" s="166" t="s">
        <v>217</v>
      </c>
      <c r="O12" s="164"/>
      <c r="P12" s="164"/>
      <c r="Q12" t="s">
        <v>177</v>
      </c>
      <c r="R12" s="203">
        <v>269.97000000000003</v>
      </c>
      <c r="S12" s="204">
        <v>269.97000000000003</v>
      </c>
      <c r="T12" s="205">
        <v>0</v>
      </c>
      <c r="U12" s="206" t="s">
        <v>232</v>
      </c>
      <c r="X12" s="210" t="s">
        <v>177</v>
      </c>
      <c r="Y12" s="211">
        <v>11.61</v>
      </c>
      <c r="Z12" s="212">
        <v>11.61</v>
      </c>
      <c r="AA12" s="213">
        <v>0</v>
      </c>
      <c r="AB12" s="206" t="s">
        <v>235</v>
      </c>
      <c r="AE12" t="s">
        <v>177</v>
      </c>
      <c r="AF12" s="203">
        <v>645.18999999999994</v>
      </c>
      <c r="AG12" s="204">
        <v>645.18999999999994</v>
      </c>
      <c r="AH12" s="205">
        <v>0</v>
      </c>
      <c r="AI12" s="206" t="s">
        <v>250</v>
      </c>
      <c r="AL12" t="s">
        <v>177</v>
      </c>
      <c r="AM12" s="203">
        <v>756.61</v>
      </c>
      <c r="AN12" s="204">
        <v>756.61</v>
      </c>
      <c r="AO12" s="205">
        <v>0</v>
      </c>
      <c r="AP12" s="206" t="s">
        <v>253</v>
      </c>
      <c r="AW12" s="44"/>
      <c r="BA12" s="44"/>
    </row>
    <row r="13" spans="2:68" ht="15">
      <c r="B13" s="144" t="s">
        <v>177</v>
      </c>
      <c r="C13" s="144">
        <v>14.689999999999998</v>
      </c>
      <c r="D13" s="151"/>
      <c r="E13" s="144">
        <v>14.689999999999998</v>
      </c>
      <c r="F13" s="149" t="s">
        <v>179</v>
      </c>
      <c r="J13" s="167" t="s">
        <v>177</v>
      </c>
      <c r="K13" s="164">
        <v>292.27999999999997</v>
      </c>
      <c r="L13" s="165">
        <v>292.27999999999997</v>
      </c>
      <c r="M13" s="164">
        <v>0</v>
      </c>
      <c r="N13" s="166" t="s">
        <v>218</v>
      </c>
      <c r="O13" s="164"/>
      <c r="P13" s="164"/>
      <c r="Q13" t="s">
        <v>177</v>
      </c>
      <c r="R13" s="203">
        <v>362.47</v>
      </c>
      <c r="S13" s="204">
        <v>362.47</v>
      </c>
      <c r="T13" s="205">
        <v>0</v>
      </c>
      <c r="U13" s="206" t="s">
        <v>233</v>
      </c>
      <c r="X13" s="210" t="s">
        <v>177</v>
      </c>
      <c r="Y13" s="211">
        <v>283.81</v>
      </c>
      <c r="Z13" s="212">
        <v>283.81</v>
      </c>
      <c r="AA13" s="213">
        <v>0</v>
      </c>
      <c r="AB13" s="206" t="s">
        <v>242</v>
      </c>
      <c r="AE13" t="s">
        <v>177</v>
      </c>
      <c r="AF13" s="203">
        <v>576.33000000000004</v>
      </c>
      <c r="AG13" s="204">
        <v>576.33000000000004</v>
      </c>
      <c r="AH13" s="205">
        <v>0</v>
      </c>
      <c r="AI13" s="206" t="s">
        <v>251</v>
      </c>
      <c r="AL13" t="s">
        <v>177</v>
      </c>
      <c r="AM13" s="203">
        <v>296.74</v>
      </c>
      <c r="AN13" s="204">
        <v>296.74</v>
      </c>
      <c r="AO13" s="205">
        <v>0</v>
      </c>
      <c r="AP13" s="206" t="s">
        <v>254</v>
      </c>
      <c r="AS13" s="44"/>
      <c r="BA13" s="44"/>
    </row>
    <row r="14" spans="2:68" ht="15.75" thickBot="1">
      <c r="B14" s="144" t="s">
        <v>177</v>
      </c>
      <c r="C14" s="144">
        <v>5.26</v>
      </c>
      <c r="D14" s="151"/>
      <c r="E14" s="144">
        <v>5.26</v>
      </c>
      <c r="F14" s="149" t="s">
        <v>180</v>
      </c>
      <c r="J14" s="167" t="s">
        <v>177</v>
      </c>
      <c r="K14" s="164">
        <v>227.47</v>
      </c>
      <c r="L14" s="165">
        <v>227.47</v>
      </c>
      <c r="M14" s="164">
        <v>0</v>
      </c>
      <c r="N14" s="166" t="s">
        <v>219</v>
      </c>
      <c r="O14" s="164"/>
      <c r="P14" s="164"/>
      <c r="Q14" t="s">
        <v>177</v>
      </c>
      <c r="R14" s="203">
        <v>242.29999999999998</v>
      </c>
      <c r="S14" s="204">
        <v>242.29999999999998</v>
      </c>
      <c r="T14" s="205">
        <v>0</v>
      </c>
      <c r="U14" s="206" t="s">
        <v>234</v>
      </c>
      <c r="X14" s="210" t="s">
        <v>177</v>
      </c>
      <c r="Y14" s="211">
        <v>205.83</v>
      </c>
      <c r="Z14" s="212">
        <v>205.83</v>
      </c>
      <c r="AA14" s="213">
        <v>0</v>
      </c>
      <c r="AB14" s="206" t="s">
        <v>243</v>
      </c>
      <c r="AE14" s="207" t="s">
        <v>163</v>
      </c>
      <c r="AF14" s="214">
        <f>SUM(AF2:AF13)</f>
        <v>53596.420000000006</v>
      </c>
      <c r="AG14" s="215">
        <f>SUM(AG2:AG13)</f>
        <v>43558.83</v>
      </c>
      <c r="AH14" s="214">
        <f>SUM(AH2:AH13)</f>
        <v>10037.59</v>
      </c>
      <c r="AL14" t="s">
        <v>177</v>
      </c>
      <c r="AM14" s="203">
        <v>332.64</v>
      </c>
      <c r="AN14" s="204">
        <v>328.92</v>
      </c>
      <c r="AO14" s="205">
        <v>3.72</v>
      </c>
      <c r="AP14" s="206" t="s">
        <v>255</v>
      </c>
      <c r="AS14" s="216"/>
      <c r="BA14" s="44"/>
    </row>
    <row r="15" spans="2:68" ht="15.75" thickTop="1">
      <c r="B15" s="144" t="s">
        <v>177</v>
      </c>
      <c r="C15" s="144">
        <v>121.53</v>
      </c>
      <c r="D15" s="151">
        <v>121.53</v>
      </c>
      <c r="E15" s="144"/>
      <c r="F15" s="149" t="s">
        <v>173</v>
      </c>
      <c r="J15" s="167" t="s">
        <v>177</v>
      </c>
      <c r="K15" s="168">
        <v>269.97000000000003</v>
      </c>
      <c r="L15" s="169">
        <v>0</v>
      </c>
      <c r="M15" s="168">
        <v>269.97000000000003</v>
      </c>
      <c r="N15" s="166" t="s">
        <v>220</v>
      </c>
      <c r="O15" s="164"/>
      <c r="P15" s="164"/>
      <c r="Q15" t="s">
        <v>177</v>
      </c>
      <c r="R15" s="203">
        <v>264.03000000000003</v>
      </c>
      <c r="S15" s="204">
        <v>252.42000000000002</v>
      </c>
      <c r="T15" s="205">
        <v>11.61</v>
      </c>
      <c r="U15" s="206" t="s">
        <v>235</v>
      </c>
      <c r="X15" s="210" t="s">
        <v>177</v>
      </c>
      <c r="Y15" s="211">
        <v>197.55999999999997</v>
      </c>
      <c r="Z15" s="212">
        <v>186.14</v>
      </c>
      <c r="AA15" s="213">
        <v>11.42</v>
      </c>
      <c r="AB15" s="206" t="s">
        <v>244</v>
      </c>
      <c r="AM15" s="203"/>
      <c r="AN15" s="204"/>
      <c r="AO15" s="205"/>
      <c r="AP15" s="206"/>
      <c r="AU15" s="44"/>
    </row>
    <row r="16" spans="2:68" ht="15.75" thickBot="1">
      <c r="B16" s="144" t="s">
        <v>177</v>
      </c>
      <c r="C16" s="144">
        <v>475.50000000000006</v>
      </c>
      <c r="D16" s="151">
        <v>475.50000000000006</v>
      </c>
      <c r="E16" s="144"/>
      <c r="F16" s="149" t="s">
        <v>174</v>
      </c>
      <c r="J16" s="164"/>
      <c r="K16" s="170">
        <v>36346.57</v>
      </c>
      <c r="L16" s="171">
        <v>26427.23</v>
      </c>
      <c r="M16" s="170">
        <v>9919.34</v>
      </c>
      <c r="N16" s="164"/>
      <c r="O16" s="164"/>
      <c r="P16" s="164"/>
      <c r="Q16" s="207"/>
      <c r="R16" s="208">
        <f>SUM(R2:R15)</f>
        <v>37110.630000000005</v>
      </c>
      <c r="S16" s="209">
        <f>SUM(S2:S15)</f>
        <v>36549.58</v>
      </c>
      <c r="T16" s="208">
        <f>SUM(T2:T8)</f>
        <v>501.81</v>
      </c>
      <c r="X16" s="207" t="s">
        <v>163</v>
      </c>
      <c r="Y16" s="214">
        <f>SUM(Y2:Y15)</f>
        <v>46326.16</v>
      </c>
      <c r="Z16" s="215">
        <f>SUM(Z2:Z15)</f>
        <v>18004.97</v>
      </c>
      <c r="AA16" s="214">
        <f>SUM(AA2:AA15)</f>
        <v>28321.189999999995</v>
      </c>
      <c r="AB16" s="206"/>
      <c r="AL16" s="207" t="s">
        <v>163</v>
      </c>
      <c r="AM16" s="214">
        <f>SUM(AM2:AM15)</f>
        <v>23979.96</v>
      </c>
      <c r="AN16" s="215">
        <f>SUM(AN2:AN15)</f>
        <v>18301.010000000002</v>
      </c>
      <c r="AO16" s="214">
        <f>SUM(AO2:AO15)</f>
        <v>5678.9500000000007</v>
      </c>
    </row>
    <row r="17" spans="2:16" ht="15.75" thickTop="1">
      <c r="B17" s="144" t="s">
        <v>177</v>
      </c>
      <c r="C17" s="144">
        <v>453.66</v>
      </c>
      <c r="D17" s="151">
        <v>453.66</v>
      </c>
      <c r="E17" s="144"/>
      <c r="F17" s="149" t="s">
        <v>175</v>
      </c>
      <c r="J17" s="164"/>
      <c r="K17" s="164"/>
      <c r="L17" s="164"/>
      <c r="M17" s="164"/>
      <c r="N17" s="164"/>
      <c r="O17" s="164"/>
      <c r="P17" s="164"/>
    </row>
    <row r="18" spans="2:16" ht="15">
      <c r="B18" s="144" t="s">
        <v>177</v>
      </c>
      <c r="C18" s="144">
        <v>267.10000000000002</v>
      </c>
      <c r="D18" s="151"/>
      <c r="E18" s="144">
        <v>267.10000000000002</v>
      </c>
      <c r="F18" s="149" t="s">
        <v>176</v>
      </c>
    </row>
    <row r="19" spans="2:16" ht="15.75" thickBot="1">
      <c r="B19" s="150" t="s">
        <v>163</v>
      </c>
      <c r="C19" s="152">
        <v>21593.269999999993</v>
      </c>
      <c r="D19" s="153">
        <v>10133.620000000001</v>
      </c>
      <c r="E19" s="152">
        <v>11459.650000000001</v>
      </c>
      <c r="F19" s="144"/>
    </row>
    <row r="20" spans="2:16" ht="15.75" thickTop="1">
      <c r="C20" s="144"/>
      <c r="D20" s="144"/>
      <c r="E20" s="144"/>
      <c r="F20" s="14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5966-AD0B-4C8D-9BDF-5CA851183B06}">
  <sheetPr>
    <tabColor theme="8" tint="-0.499984740745262"/>
  </sheetPr>
  <dimension ref="A1:AQ41"/>
  <sheetViews>
    <sheetView showGridLines="0" zoomScale="106" zoomScaleNormal="106" workbookViewId="0">
      <pane xSplit="4" ySplit="7" topLeftCell="AC8" activePane="bottomRight" state="frozen"/>
      <selection pane="topRight" activeCell="G1" sqref="G1"/>
      <selection pane="bottomLeft" activeCell="A8" sqref="A8"/>
      <selection pane="bottomRight" activeCell="AG38" activeCellId="4" sqref="AG11 AG17 AG29 AG35 AG38"/>
    </sheetView>
  </sheetViews>
  <sheetFormatPr baseColWidth="10" defaultColWidth="11.42578125" defaultRowHeight="12.75" outlineLevelCol="1"/>
  <cols>
    <col min="1" max="1" width="1.7109375" style="29" customWidth="1"/>
    <col min="2" max="2" width="18.140625" style="29" bestFit="1" customWidth="1"/>
    <col min="3" max="3" width="11.140625" style="29" customWidth="1"/>
    <col min="4" max="4" width="9.85546875" style="29" customWidth="1"/>
    <col min="5" max="16" width="12.7109375" style="29" hidden="1" customWidth="1" outlineLevel="1"/>
    <col min="17" max="17" width="14.140625" style="29" bestFit="1" customWidth="1" collapsed="1"/>
    <col min="18" max="16384" width="11.42578125" style="29"/>
  </cols>
  <sheetData>
    <row r="1" spans="1:43" s="27" customFormat="1">
      <c r="A1" s="26"/>
      <c r="B1" s="28"/>
      <c r="C1" s="220" t="s">
        <v>114</v>
      </c>
      <c r="D1" s="221"/>
      <c r="E1" s="108">
        <v>1.1152</v>
      </c>
      <c r="F1" s="109">
        <v>1.1181000000000001</v>
      </c>
      <c r="G1" s="109">
        <v>1.1162000000000001</v>
      </c>
      <c r="H1" s="109">
        <v>1.0504</v>
      </c>
      <c r="I1" s="109">
        <v>1.0773999999999999</v>
      </c>
      <c r="J1" s="109">
        <v>1.0481</v>
      </c>
      <c r="K1" s="109">
        <v>1.0198</v>
      </c>
      <c r="L1" s="109">
        <v>1.0049999999999999</v>
      </c>
      <c r="M1" s="109">
        <v>0.98</v>
      </c>
      <c r="N1" s="109">
        <v>0.98799999999999999</v>
      </c>
      <c r="O1" s="109">
        <v>1.0409999999999999</v>
      </c>
      <c r="P1" s="110">
        <v>1.0720000000000001</v>
      </c>
      <c r="Q1" s="119"/>
      <c r="R1" s="110">
        <v>1.0720000000000001</v>
      </c>
      <c r="S1" s="110">
        <v>1.0720000000000001</v>
      </c>
      <c r="T1" s="110">
        <v>1.0720000000000001</v>
      </c>
      <c r="U1" s="110">
        <v>1.0720000000000001</v>
      </c>
      <c r="V1" s="110">
        <v>1.0720000000000001</v>
      </c>
      <c r="W1" s="110">
        <v>1.0720000000000001</v>
      </c>
      <c r="X1" s="110">
        <v>1.0720000000000001</v>
      </c>
      <c r="Y1" s="110">
        <v>1.0720000000000001</v>
      </c>
      <c r="Z1" s="110">
        <v>1.0720000000000001</v>
      </c>
      <c r="AA1" s="110">
        <v>1.0720000000000001</v>
      </c>
      <c r="AB1" s="110">
        <v>1.0720000000000001</v>
      </c>
      <c r="AC1" s="110">
        <v>1.0720000000000001</v>
      </c>
      <c r="AD1" s="111"/>
      <c r="AE1" s="110">
        <v>1.0720000000000001</v>
      </c>
      <c r="AF1" s="110">
        <v>1.0720000000000001</v>
      </c>
      <c r="AG1" s="110">
        <v>1.0720000000000001</v>
      </c>
      <c r="AH1" s="110">
        <v>1.0720000000000001</v>
      </c>
      <c r="AI1" s="110">
        <v>1.0720000000000001</v>
      </c>
      <c r="AJ1" s="110">
        <v>1.0720000000000001</v>
      </c>
      <c r="AK1" s="110">
        <v>1.0720000000000001</v>
      </c>
      <c r="AL1" s="110">
        <v>1.0720000000000001</v>
      </c>
      <c r="AM1" s="110">
        <v>1.0720000000000001</v>
      </c>
      <c r="AN1" s="110">
        <v>1.0720000000000001</v>
      </c>
      <c r="AO1" s="110">
        <v>1.0720000000000001</v>
      </c>
      <c r="AP1" s="110">
        <v>1.0720000000000001</v>
      </c>
      <c r="AQ1" s="111"/>
    </row>
    <row r="2" spans="1:43" s="27" customFormat="1">
      <c r="A2" s="26"/>
      <c r="B2" s="222" t="s">
        <v>161</v>
      </c>
      <c r="C2" s="112" t="s">
        <v>108</v>
      </c>
      <c r="D2" s="113" t="s">
        <v>156</v>
      </c>
      <c r="E2" s="114">
        <f t="shared" ref="E2:AB2" si="0">SUMIF($C$8:$C$51,$C$2,E$8:E$51)</f>
        <v>78330.113547119574</v>
      </c>
      <c r="F2" s="114">
        <f t="shared" si="0"/>
        <v>80230.279485767693</v>
      </c>
      <c r="G2" s="114">
        <f t="shared" si="0"/>
        <v>77943.243593213847</v>
      </c>
      <c r="H2" s="114">
        <f t="shared" si="0"/>
        <v>74090.933432726437</v>
      </c>
      <c r="I2" s="114">
        <f t="shared" si="0"/>
        <v>72283.780326712469</v>
      </c>
      <c r="J2" s="114">
        <f t="shared" si="0"/>
        <v>58839.999906497469</v>
      </c>
      <c r="K2" s="114">
        <f t="shared" si="0"/>
        <v>68053.755930854793</v>
      </c>
      <c r="L2" s="114">
        <f t="shared" si="0"/>
        <v>59649.196469139453</v>
      </c>
      <c r="M2" s="114">
        <f t="shared" si="0"/>
        <v>79533.09370232941</v>
      </c>
      <c r="N2" s="114">
        <f t="shared" si="0"/>
        <v>77086.979595141704</v>
      </c>
      <c r="O2" s="114">
        <f t="shared" si="0"/>
        <v>80888.045744476476</v>
      </c>
      <c r="P2" s="114">
        <f t="shared" si="0"/>
        <v>82498.108731343294</v>
      </c>
      <c r="Q2" s="134">
        <f t="shared" si="0"/>
        <v>889427.53046532231</v>
      </c>
      <c r="R2" s="114">
        <f>SUMIF($C$8:$C$51,$C$2,R$8:R$51)</f>
        <v>53905.477985074627</v>
      </c>
      <c r="S2" s="114">
        <f t="shared" si="0"/>
        <v>50205.412014925365</v>
      </c>
      <c r="T2" s="114">
        <f t="shared" si="0"/>
        <v>63514.310671641797</v>
      </c>
      <c r="U2" s="114">
        <f t="shared" si="0"/>
        <v>56322.619925373125</v>
      </c>
      <c r="V2" s="114">
        <f t="shared" si="0"/>
        <v>57458.508283582079</v>
      </c>
      <c r="W2" s="114">
        <f t="shared" si="0"/>
        <v>51964.47059701493</v>
      </c>
      <c r="X2" s="114">
        <f t="shared" si="0"/>
        <v>52039.550671641788</v>
      </c>
      <c r="Y2" s="114">
        <f t="shared" si="0"/>
        <v>48081.616417910445</v>
      </c>
      <c r="Z2" s="114">
        <f t="shared" si="0"/>
        <v>52460.107880597017</v>
      </c>
      <c r="AA2" s="114">
        <f t="shared" si="0"/>
        <v>60667.119701492527</v>
      </c>
      <c r="AB2" s="114">
        <f t="shared" si="0"/>
        <v>66419.867089552237</v>
      </c>
      <c r="AC2" s="114">
        <f>SUMIF($C$8:$C$51,$C$2,AC$8:AC$51)</f>
        <v>65469.343134328366</v>
      </c>
      <c r="AD2" s="135">
        <f>SUMIF($C$8:$C$51,$C$2,AD$8:AD$51)</f>
        <v>678508.40437313425</v>
      </c>
      <c r="AE2" s="114">
        <f>SUMIF($C$8:$C$51,$C$2,AE$8:AE$51)</f>
        <v>58269.146716417912</v>
      </c>
      <c r="AF2" s="114">
        <f t="shared" ref="AF2:AO2" si="1">SUMIF($C$8:$C$51,$C$2,AF$8:AF$51)</f>
        <v>63468.872388059703</v>
      </c>
      <c r="AG2" s="114">
        <f t="shared" si="1"/>
        <v>80939.278179104484</v>
      </c>
      <c r="AH2" s="114">
        <f t="shared" si="1"/>
        <v>71606.539253731346</v>
      </c>
      <c r="AI2" s="114">
        <f t="shared" si="1"/>
        <v>55410.818432835818</v>
      </c>
      <c r="AJ2" s="114">
        <f t="shared" si="1"/>
        <v>44224.323582089557</v>
      </c>
      <c r="AK2" s="114">
        <f t="shared" si="1"/>
        <v>47790.487761194032</v>
      </c>
      <c r="AL2" s="114">
        <f t="shared" si="1"/>
        <v>6756.587388059701</v>
      </c>
      <c r="AM2" s="114">
        <f t="shared" si="1"/>
        <v>0</v>
      </c>
      <c r="AN2" s="114">
        <f t="shared" si="1"/>
        <v>0</v>
      </c>
      <c r="AO2" s="114">
        <f t="shared" si="1"/>
        <v>0</v>
      </c>
      <c r="AP2" s="114">
        <f>SUMIF($C$8:$C$51,$C$2,AP$8:AP$51)</f>
        <v>0</v>
      </c>
      <c r="AQ2" s="135">
        <f>SUMIF($C$8:$C$51,$C$2,AQ$8:AQ$51)</f>
        <v>428466.05370149249</v>
      </c>
    </row>
    <row r="3" spans="1:43" s="27" customFormat="1">
      <c r="A3" s="26"/>
      <c r="B3" s="223"/>
      <c r="C3" s="112" t="s">
        <v>15</v>
      </c>
      <c r="D3" s="113" t="s">
        <v>156</v>
      </c>
      <c r="E3" s="114">
        <f t="shared" ref="E3:AQ3" si="2">SUMIF($C$8:$C$51,$C$3,E$8:E$51)</f>
        <v>521.89135225612984</v>
      </c>
      <c r="F3" s="114">
        <f t="shared" si="2"/>
        <v>645.50603637570362</v>
      </c>
      <c r="G3" s="114">
        <f t="shared" si="2"/>
        <v>404.89959130565649</v>
      </c>
      <c r="H3" s="114">
        <f t="shared" si="2"/>
        <v>336.52045581916684</v>
      </c>
      <c r="I3" s="114">
        <f t="shared" si="2"/>
        <v>395.18783181733806</v>
      </c>
      <c r="J3" s="114">
        <f t="shared" si="2"/>
        <v>2048.7165528098462</v>
      </c>
      <c r="K3" s="114">
        <f t="shared" si="2"/>
        <v>3919.2064738183958</v>
      </c>
      <c r="L3" s="114">
        <f t="shared" si="2"/>
        <v>3991.007734594355</v>
      </c>
      <c r="M3" s="114">
        <f t="shared" si="2"/>
        <v>10977.755102040815</v>
      </c>
      <c r="N3" s="114">
        <f t="shared" si="2"/>
        <v>12513.323927125506</v>
      </c>
      <c r="O3" s="114">
        <f t="shared" si="2"/>
        <v>28867.127415946208</v>
      </c>
      <c r="P3" s="114">
        <f t="shared" si="2"/>
        <v>28780.093208955223</v>
      </c>
      <c r="Q3" s="135">
        <f t="shared" si="2"/>
        <v>93401.235682864353</v>
      </c>
      <c r="R3" s="114">
        <f t="shared" si="2"/>
        <v>13068.626343283584</v>
      </c>
      <c r="S3" s="114">
        <f t="shared" si="2"/>
        <v>7747.8949253731344</v>
      </c>
      <c r="T3" s="114">
        <f t="shared" si="2"/>
        <v>8959.1798507462699</v>
      </c>
      <c r="U3" s="114">
        <f t="shared" si="2"/>
        <v>6243.6109701492533</v>
      </c>
      <c r="V3" s="114">
        <f t="shared" si="2"/>
        <v>4472.4235820895528</v>
      </c>
      <c r="W3" s="114">
        <f t="shared" si="2"/>
        <v>6365.3564179104478</v>
      </c>
      <c r="X3" s="114">
        <f t="shared" si="2"/>
        <v>5889.5482089552233</v>
      </c>
      <c r="Y3" s="114">
        <f t="shared" si="2"/>
        <v>3428.161641791045</v>
      </c>
      <c r="Z3" s="114">
        <f t="shared" si="2"/>
        <v>2936.8017164179105</v>
      </c>
      <c r="AA3" s="114">
        <f t="shared" si="2"/>
        <v>2998.8765671641795</v>
      </c>
      <c r="AB3" s="114">
        <f t="shared" si="2"/>
        <v>1448.8619776119403</v>
      </c>
      <c r="AC3" s="114">
        <f t="shared" si="2"/>
        <v>1024.6349253731341</v>
      </c>
      <c r="AD3" s="135">
        <f t="shared" si="2"/>
        <v>64583.977126865677</v>
      </c>
      <c r="AE3" s="114">
        <f t="shared" si="2"/>
        <v>681.75395522388055</v>
      </c>
      <c r="AF3" s="114">
        <f t="shared" si="2"/>
        <v>961.94768656716406</v>
      </c>
      <c r="AG3" s="114">
        <f t="shared" si="2"/>
        <v>1156.8226865671641</v>
      </c>
      <c r="AH3" s="114">
        <f t="shared" si="2"/>
        <v>1293.2572388059702</v>
      </c>
      <c r="AI3" s="114">
        <f t="shared" si="2"/>
        <v>2035.6101492537316</v>
      </c>
      <c r="AJ3" s="114">
        <f t="shared" si="2"/>
        <v>2720.9544776119401</v>
      </c>
      <c r="AK3" s="114">
        <f t="shared" si="2"/>
        <v>1203.7496268656716</v>
      </c>
      <c r="AL3" s="114">
        <f t="shared" si="2"/>
        <v>11.01858208955224</v>
      </c>
      <c r="AM3" s="114">
        <f t="shared" si="2"/>
        <v>0</v>
      </c>
      <c r="AN3" s="114">
        <f t="shared" si="2"/>
        <v>0</v>
      </c>
      <c r="AO3" s="114">
        <f t="shared" si="2"/>
        <v>0</v>
      </c>
      <c r="AP3" s="114">
        <f t="shared" si="2"/>
        <v>0</v>
      </c>
      <c r="AQ3" s="135">
        <f t="shared" si="2"/>
        <v>10065.114402985077</v>
      </c>
    </row>
    <row r="4" spans="1:43" s="27" customFormat="1">
      <c r="A4"/>
      <c r="B4" s="223"/>
      <c r="C4" s="115" t="s">
        <v>109</v>
      </c>
      <c r="D4" s="83" t="s">
        <v>156</v>
      </c>
      <c r="E4" s="84">
        <f t="shared" ref="E4:AQ4" si="3">SUMIF($C$8:$C$51,$C$4,E$8:E$51)</f>
        <v>1141.1044243669783</v>
      </c>
      <c r="F4" s="84">
        <f t="shared" si="3"/>
        <v>1034.2038275456573</v>
      </c>
      <c r="G4" s="84">
        <f t="shared" si="3"/>
        <v>794.82189701738162</v>
      </c>
      <c r="H4" s="84">
        <f t="shared" si="3"/>
        <v>1179.8567230453091</v>
      </c>
      <c r="I4" s="84">
        <f t="shared" si="3"/>
        <v>1654.5938685724893</v>
      </c>
      <c r="J4" s="84">
        <f t="shared" si="3"/>
        <v>1819.5653716248448</v>
      </c>
      <c r="K4" s="84">
        <f t="shared" si="3"/>
        <v>1130.6252598548735</v>
      </c>
      <c r="L4" s="84">
        <f t="shared" si="3"/>
        <v>695.47810945273625</v>
      </c>
      <c r="M4" s="84">
        <f t="shared" si="3"/>
        <v>1187.100612244898</v>
      </c>
      <c r="N4" s="84">
        <f t="shared" si="3"/>
        <v>1631.1396761133603</v>
      </c>
      <c r="O4" s="84">
        <f t="shared" si="3"/>
        <v>1468.2948607108551</v>
      </c>
      <c r="P4" s="84">
        <f t="shared" si="3"/>
        <v>1205.1873880597013</v>
      </c>
      <c r="Q4" s="136">
        <f t="shared" si="3"/>
        <v>14941.972018609087</v>
      </c>
      <c r="R4" s="84">
        <f t="shared" si="3"/>
        <v>1443.7285074626864</v>
      </c>
      <c r="S4" s="84">
        <f t="shared" si="3"/>
        <v>1282.0462686567164</v>
      </c>
      <c r="T4" s="84">
        <f t="shared" si="3"/>
        <v>1159.5141791044775</v>
      </c>
      <c r="U4" s="84">
        <f t="shared" si="3"/>
        <v>1001.7074626865671</v>
      </c>
      <c r="V4" s="84">
        <f t="shared" si="3"/>
        <v>1145.5102985074627</v>
      </c>
      <c r="W4" s="84">
        <f t="shared" si="3"/>
        <v>865.93910447761186</v>
      </c>
      <c r="X4" s="84">
        <f t="shared" si="3"/>
        <v>1167.3823880597015</v>
      </c>
      <c r="Y4" s="84">
        <f t="shared" si="3"/>
        <v>1250.671791044776</v>
      </c>
      <c r="Z4" s="84">
        <f t="shared" si="3"/>
        <v>1147.3781343283581</v>
      </c>
      <c r="AA4" s="84">
        <f t="shared" si="3"/>
        <v>517.17000000000007</v>
      </c>
      <c r="AB4" s="84">
        <f t="shared" si="3"/>
        <v>523.96097014925374</v>
      </c>
      <c r="AC4" s="84">
        <f t="shared" si="3"/>
        <v>228.42701492537313</v>
      </c>
      <c r="AD4" s="136">
        <f t="shared" si="3"/>
        <v>11733.436119402986</v>
      </c>
      <c r="AE4" s="84">
        <f t="shared" si="3"/>
        <v>64.454701492537311</v>
      </c>
      <c r="AF4" s="84">
        <f t="shared" si="3"/>
        <v>108.38276119402985</v>
      </c>
      <c r="AG4" s="84">
        <f t="shared" si="3"/>
        <v>41.971119402985074</v>
      </c>
      <c r="AH4" s="84">
        <f t="shared" si="3"/>
        <v>46.963880597014921</v>
      </c>
      <c r="AI4" s="84">
        <f t="shared" si="3"/>
        <v>81.121194029850741</v>
      </c>
      <c r="AJ4" s="84">
        <f t="shared" si="3"/>
        <v>86.17</v>
      </c>
      <c r="AK4" s="84">
        <f t="shared" si="3"/>
        <v>21.37</v>
      </c>
      <c r="AL4" s="84">
        <f t="shared" si="3"/>
        <v>19.54</v>
      </c>
      <c r="AM4" s="84">
        <f t="shared" si="3"/>
        <v>0</v>
      </c>
      <c r="AN4" s="84">
        <f t="shared" si="3"/>
        <v>0</v>
      </c>
      <c r="AO4" s="84">
        <f t="shared" si="3"/>
        <v>0</v>
      </c>
      <c r="AP4" s="84">
        <f t="shared" si="3"/>
        <v>0</v>
      </c>
      <c r="AQ4" s="136">
        <f t="shared" si="3"/>
        <v>469.97365671641785</v>
      </c>
    </row>
    <row r="5" spans="1:43" s="30" customFormat="1">
      <c r="A5"/>
      <c r="C5" s="116" t="s">
        <v>157</v>
      </c>
      <c r="D5" s="117" t="s">
        <v>156</v>
      </c>
      <c r="E5" s="118">
        <f>SUM(E8:E40)</f>
        <v>79993.109323742698</v>
      </c>
      <c r="F5" s="118">
        <f t="shared" ref="F5:P5" si="4">SUM(F8:F40)</f>
        <v>81909.989349689058</v>
      </c>
      <c r="G5" s="118">
        <f t="shared" si="4"/>
        <v>79142.96508153688</v>
      </c>
      <c r="H5" s="118">
        <f t="shared" si="4"/>
        <v>75607.310611590903</v>
      </c>
      <c r="I5" s="118">
        <f t="shared" si="4"/>
        <v>74333.562027102293</v>
      </c>
      <c r="J5" s="118">
        <f t="shared" si="4"/>
        <v>62708.281830932159</v>
      </c>
      <c r="K5" s="118">
        <f t="shared" si="4"/>
        <v>73103.587664528051</v>
      </c>
      <c r="L5" s="118">
        <f t="shared" si="4"/>
        <v>64335.682313186546</v>
      </c>
      <c r="M5" s="118">
        <f t="shared" si="4"/>
        <v>91697.949416615127</v>
      </c>
      <c r="N5" s="118">
        <f t="shared" si="4"/>
        <v>91231.443198380555</v>
      </c>
      <c r="O5" s="118">
        <f t="shared" si="4"/>
        <v>111223.46802113349</v>
      </c>
      <c r="P5" s="118">
        <f t="shared" si="4"/>
        <v>112483.38932835824</v>
      </c>
      <c r="Q5" s="137">
        <f>SUM(Q8:Q40)</f>
        <v>997770.73816679569</v>
      </c>
      <c r="R5" s="118">
        <f>SUM(R8:R40)</f>
        <v>68417.832835820896</v>
      </c>
      <c r="S5" s="118">
        <f t="shared" ref="S5:AC5" si="5">SUM(S8:S40)</f>
        <v>59235.35320895521</v>
      </c>
      <c r="T5" s="118">
        <f t="shared" si="5"/>
        <v>73633.004701492551</v>
      </c>
      <c r="U5" s="118">
        <f t="shared" si="5"/>
        <v>63567.938358208943</v>
      </c>
      <c r="V5" s="118">
        <f t="shared" si="5"/>
        <v>63076.442164179098</v>
      </c>
      <c r="W5" s="118">
        <f t="shared" si="5"/>
        <v>59195.766119402986</v>
      </c>
      <c r="X5" s="118">
        <f t="shared" si="5"/>
        <v>60319.111268656714</v>
      </c>
      <c r="Y5" s="118">
        <f t="shared" si="5"/>
        <v>53648.129850746263</v>
      </c>
      <c r="Z5" s="118">
        <f t="shared" si="5"/>
        <v>57542.287731343291</v>
      </c>
      <c r="AA5" s="118">
        <f t="shared" si="5"/>
        <v>64978.986268656707</v>
      </c>
      <c r="AB5" s="118">
        <f t="shared" si="5"/>
        <v>69021.600037313445</v>
      </c>
      <c r="AC5" s="118">
        <f t="shared" si="5"/>
        <v>67537.405074626862</v>
      </c>
      <c r="AD5" s="137">
        <f>SUM(AD8:AD40)</f>
        <v>754825.81761940278</v>
      </c>
      <c r="AE5" s="118">
        <f>SUM(AE8:AE40)</f>
        <v>59754.645373134328</v>
      </c>
      <c r="AF5" s="118">
        <f t="shared" ref="AF5:AP5" si="6">SUM(AF8:AF40)</f>
        <v>65332.202835820899</v>
      </c>
      <c r="AG5" s="118">
        <f t="shared" si="6"/>
        <v>83142.071985074639</v>
      </c>
      <c r="AH5" s="118">
        <f t="shared" si="6"/>
        <v>73927.710373134323</v>
      </c>
      <c r="AI5" s="118">
        <f t="shared" si="6"/>
        <v>58593.809776119408</v>
      </c>
      <c r="AJ5" s="118">
        <f t="shared" si="6"/>
        <v>48618.248059701495</v>
      </c>
      <c r="AK5" s="118">
        <f t="shared" si="6"/>
        <v>50507.717388059697</v>
      </c>
      <c r="AL5" s="118">
        <f t="shared" si="6"/>
        <v>6787.145970149254</v>
      </c>
      <c r="AM5" s="118">
        <f t="shared" si="6"/>
        <v>0</v>
      </c>
      <c r="AN5" s="118">
        <f t="shared" si="6"/>
        <v>0</v>
      </c>
      <c r="AO5" s="118">
        <f t="shared" si="6"/>
        <v>0</v>
      </c>
      <c r="AP5" s="118">
        <f t="shared" si="6"/>
        <v>0</v>
      </c>
      <c r="AQ5" s="137">
        <f>SUM(AQ8:AQ40)</f>
        <v>439001.14176119398</v>
      </c>
    </row>
    <row r="6" spans="1:43" s="30" customFormat="1" ht="18" customHeight="1">
      <c r="A6"/>
      <c r="C6" s="80"/>
      <c r="D6" s="81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9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9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92"/>
    </row>
    <row r="7" spans="1:43" ht="25.5">
      <c r="A7"/>
      <c r="B7" s="132" t="s">
        <v>7</v>
      </c>
      <c r="C7" s="31" t="s">
        <v>81</v>
      </c>
      <c r="D7" s="31" t="s">
        <v>34</v>
      </c>
      <c r="E7" s="131">
        <v>44562</v>
      </c>
      <c r="F7" s="131">
        <v>44593</v>
      </c>
      <c r="G7" s="131">
        <v>44621</v>
      </c>
      <c r="H7" s="131">
        <v>44652</v>
      </c>
      <c r="I7" s="131">
        <v>44682</v>
      </c>
      <c r="J7" s="131">
        <v>44713</v>
      </c>
      <c r="K7" s="131">
        <v>44743</v>
      </c>
      <c r="L7" s="131">
        <v>44774</v>
      </c>
      <c r="M7" s="131">
        <v>44805</v>
      </c>
      <c r="N7" s="131">
        <v>44835</v>
      </c>
      <c r="O7" s="131">
        <v>44866</v>
      </c>
      <c r="P7" s="131">
        <v>44896</v>
      </c>
      <c r="Q7" s="91">
        <v>2022</v>
      </c>
      <c r="R7" s="131">
        <v>44927</v>
      </c>
      <c r="S7" s="131">
        <v>44958</v>
      </c>
      <c r="T7" s="131">
        <v>44986</v>
      </c>
      <c r="U7" s="131">
        <v>45017</v>
      </c>
      <c r="V7" s="131">
        <v>45047</v>
      </c>
      <c r="W7" s="131">
        <v>45078</v>
      </c>
      <c r="X7" s="131">
        <v>45108</v>
      </c>
      <c r="Y7" s="131">
        <v>45139</v>
      </c>
      <c r="Z7" s="131">
        <v>45170</v>
      </c>
      <c r="AA7" s="131">
        <v>45200</v>
      </c>
      <c r="AB7" s="131">
        <v>45231</v>
      </c>
      <c r="AC7" s="131">
        <v>45261</v>
      </c>
      <c r="AD7" s="91">
        <v>2023</v>
      </c>
      <c r="AE7" s="131">
        <v>45292</v>
      </c>
      <c r="AF7" s="131">
        <v>45323</v>
      </c>
      <c r="AG7" s="131">
        <v>45352</v>
      </c>
      <c r="AH7" s="131">
        <v>45383</v>
      </c>
      <c r="AI7" s="131">
        <v>45413</v>
      </c>
      <c r="AJ7" s="131">
        <v>45444</v>
      </c>
      <c r="AK7" s="131">
        <v>45474</v>
      </c>
      <c r="AL7" s="131">
        <v>45505</v>
      </c>
      <c r="AM7" s="131">
        <v>45536</v>
      </c>
      <c r="AN7" s="131">
        <v>45566</v>
      </c>
      <c r="AO7" s="131">
        <v>45597</v>
      </c>
      <c r="AP7" s="131">
        <v>45627</v>
      </c>
      <c r="AQ7" s="91">
        <v>2024</v>
      </c>
    </row>
    <row r="8" spans="1:43">
      <c r="A8" s="35"/>
      <c r="B8" s="67" t="s">
        <v>38</v>
      </c>
      <c r="C8" s="65" t="s">
        <v>108</v>
      </c>
      <c r="D8" s="86" t="s">
        <v>39</v>
      </c>
      <c r="E8" s="93">
        <f>('Basisdaten Rev'!B37+'Basisdaten Rev'!B38)/E1</f>
        <v>25773.626029185572</v>
      </c>
      <c r="F8" s="93">
        <f>('Basisdaten Rev'!C37+'Basisdaten Rev'!C38)/F1</f>
        <v>25597.970583213402</v>
      </c>
      <c r="G8" s="93">
        <f>('Basisdaten Rev'!D37+'Basisdaten Rev'!D38)/G1</f>
        <v>25211.447785359269</v>
      </c>
      <c r="H8" s="93">
        <f>('Basisdaten Rev'!E37+'Basisdaten Rev'!E38)/H1</f>
        <v>28708.111195734957</v>
      </c>
      <c r="I8" s="93">
        <f>('Basisdaten Rev'!F37+'Basisdaten Rev'!F38)/I1</f>
        <v>27820.679413402639</v>
      </c>
      <c r="J8" s="93">
        <f>('Basisdaten Rev'!G37+'Basisdaten Rev'!G38)/J1</f>
        <v>13678.084152275545</v>
      </c>
      <c r="K8" s="93">
        <f>('Basisdaten Rev'!H37+'Basisdaten Rev'!H38)/K1</f>
        <v>14632.28083938027</v>
      </c>
      <c r="L8" s="93">
        <f>('Basisdaten Rev'!I37+'Basisdaten Rev'!I38)/L1</f>
        <v>14333.890547263683</v>
      </c>
      <c r="M8" s="93">
        <f>('Basisdaten Rev'!J37+'Basisdaten Rev'!J38)/M1</f>
        <v>16217.010204081633</v>
      </c>
      <c r="N8" s="93">
        <f>('Basisdaten Rev'!K37+'Basisdaten Rev'!K38)/N1</f>
        <v>14904.554655870446</v>
      </c>
      <c r="O8" s="93">
        <f>('Basisdaten Rev'!L37+'Basisdaten Rev'!L38)/O1</f>
        <v>13874.265129682999</v>
      </c>
      <c r="P8" s="93">
        <f>('Basisdaten Rev'!M37+'Basisdaten Rev'!M38)/P1</f>
        <v>14427.192164179105</v>
      </c>
      <c r="Q8" s="98">
        <f>SUM(E8:P8)</f>
        <v>235179.11269962948</v>
      </c>
      <c r="R8" s="93">
        <f>('Basisdaten Rev'!O37+'Basisdaten Rev'!O38)/R1</f>
        <v>13642.695895522387</v>
      </c>
      <c r="S8" s="93">
        <f>('Basisdaten Rev'!P37+'Basisdaten Rev'!P38)/S1</f>
        <v>13305.401119402984</v>
      </c>
      <c r="T8" s="93">
        <f>('Basisdaten Rev'!Q37+'Basisdaten Rev'!Q38)/T1</f>
        <v>13001.296641791043</v>
      </c>
      <c r="U8" s="93">
        <f>('Basisdaten Rev'!R37+'Basisdaten Rev'!R38)/U1</f>
        <v>12992.84514925373</v>
      </c>
      <c r="V8" s="93">
        <f>('Basisdaten Rev'!S37+'Basisdaten Rev'!S38)/V1</f>
        <v>13449.309701492537</v>
      </c>
      <c r="W8" s="93">
        <f>('Basisdaten Rev'!T37+'Basisdaten Rev'!T38)/W1</f>
        <v>13037.798507462687</v>
      </c>
      <c r="X8" s="93">
        <f>('Basisdaten Rev'!U37+'Basisdaten Rev'!U38)/X1</f>
        <v>12437.5</v>
      </c>
      <c r="Y8" s="93">
        <f>('Basisdaten Rev'!V37+'Basisdaten Rev'!V38)/Y1</f>
        <v>12437.5</v>
      </c>
      <c r="Z8" s="93">
        <f>('Basisdaten Rev'!W37+'Basisdaten Rev'!W38)/Z1</f>
        <v>13285.298507462687</v>
      </c>
      <c r="AA8" s="93">
        <f>('Basisdaten Rev'!X37+'Basisdaten Rev'!X38)/AA1</f>
        <v>12824.62686567164</v>
      </c>
      <c r="AB8" s="93">
        <f>('Basisdaten Rev'!Y37+'Basisdaten Rev'!Y38)/AB1</f>
        <v>13281.716417910447</v>
      </c>
      <c r="AC8" s="93">
        <f>('Basisdaten Rev'!Z37+'Basisdaten Rev'!Z38)/AC1</f>
        <v>13556.902985074626</v>
      </c>
      <c r="AD8" s="98">
        <f>SUM(R8:AC8)</f>
        <v>157252.89179104476</v>
      </c>
      <c r="AE8" s="93">
        <f>('Basisdaten Rev'!AB37+'Basisdaten Rev'!AB38)/AE1</f>
        <v>12605.083955223879</v>
      </c>
      <c r="AF8" s="93">
        <f>('Basisdaten Rev'!AC37+'Basisdaten Rev'!AC38)/AF1</f>
        <v>12729.62686567164</v>
      </c>
      <c r="AG8" s="93">
        <f>('Basisdaten Rev'!AD37+'Basisdaten Rev'!AD38)/AG1</f>
        <v>12564.197761194029</v>
      </c>
      <c r="AH8" s="93">
        <f>('Basisdaten Rev'!AE37+'Basisdaten Rev'!AE38)/AH1</f>
        <v>12617.378731343282</v>
      </c>
      <c r="AI8" s="93">
        <f>('Basisdaten Rev'!AF37+'Basisdaten Rev'!AF38)/AI1</f>
        <v>12600.746268656716</v>
      </c>
      <c r="AJ8" s="93">
        <f>('Basisdaten Rev'!AG37+'Basisdaten Rev'!AG38)/AJ1</f>
        <v>83.815298507462671</v>
      </c>
      <c r="AK8" s="93">
        <f>('Basisdaten Rev'!AH37+'Basisdaten Rev'!AH38)/AK1</f>
        <v>0.5503731343283581</v>
      </c>
      <c r="AL8" s="93">
        <f>('Basisdaten Rev'!AI37+'Basisdaten Rev'!AI38)/AL1</f>
        <v>1.4832089552238805</v>
      </c>
      <c r="AM8" s="93">
        <f>('Basisdaten Rev'!AJ37+'Basisdaten Rev'!AJ38)/AM1</f>
        <v>0</v>
      </c>
      <c r="AN8" s="93">
        <f>('Basisdaten Rev'!AK37+'Basisdaten Rev'!AK38)/AN1</f>
        <v>0</v>
      </c>
      <c r="AO8" s="93">
        <f>('Basisdaten Rev'!AL37+'Basisdaten Rev'!AL38)/AO1</f>
        <v>0</v>
      </c>
      <c r="AP8" s="93">
        <f>('Basisdaten Rev'!AM37+'Basisdaten Rev'!AM38)/AP1</f>
        <v>0</v>
      </c>
      <c r="AQ8" s="98">
        <f t="shared" ref="AQ8:AQ13" si="7">SUM(AE8:AP8)</f>
        <v>63202.882462686561</v>
      </c>
    </row>
    <row r="9" spans="1:43">
      <c r="A9" s="35"/>
      <c r="B9" s="67" t="s">
        <v>38</v>
      </c>
      <c r="C9" s="85" t="s">
        <v>15</v>
      </c>
      <c r="D9" s="86" t="s">
        <v>39</v>
      </c>
      <c r="E9" s="93">
        <f>'Basisdaten Rev'!B39/E1</f>
        <v>180.95570462858842</v>
      </c>
      <c r="F9" s="93">
        <f>'Basisdaten Rev'!C39/F1</f>
        <v>145.5391044873202</v>
      </c>
      <c r="G9" s="93">
        <f>'Basisdaten Rev'!D39/G1</f>
        <v>84.746993903059106</v>
      </c>
      <c r="H9" s="93">
        <f>'Basisdaten Rev'!E39/H1</f>
        <v>61.881188118811885</v>
      </c>
      <c r="I9" s="93">
        <f>'Basisdaten Rev'!F39/I1</f>
        <v>123.44533135325786</v>
      </c>
      <c r="J9" s="93">
        <f>'Basisdaten Rev'!G39/J1</f>
        <v>1497.9486690201315</v>
      </c>
      <c r="K9" s="93">
        <f>'Basisdaten Rev'!H39/K1</f>
        <v>1273.7791723867424</v>
      </c>
      <c r="L9" s="93">
        <f>'Basisdaten Rev'!I39/L1</f>
        <v>1007.313432835821</v>
      </c>
      <c r="M9" s="93">
        <f>'Basisdaten Rev'!J39/M1</f>
        <v>2170.0510204081634</v>
      </c>
      <c r="N9" s="93">
        <f>'Basisdaten Rev'!K39/N1</f>
        <v>616.80161943319843</v>
      </c>
      <c r="O9" s="93">
        <f>'Basisdaten Rev'!L39/O1</f>
        <v>436.09029779058602</v>
      </c>
      <c r="P9" s="93">
        <f>'Basisdaten Rev'!M39/P1</f>
        <v>400.69029850746267</v>
      </c>
      <c r="Q9" s="98">
        <f>SUM(E9:P9)</f>
        <v>7999.242832873143</v>
      </c>
      <c r="R9" s="93">
        <f>'Basisdaten Rev'!O39/R1</f>
        <v>303.46082089552237</v>
      </c>
      <c r="S9" s="93">
        <f>'Basisdaten Rev'!P39/S1</f>
        <v>160.44776119402985</v>
      </c>
      <c r="T9" s="93">
        <f>'Basisdaten Rev'!Q39/T1</f>
        <v>106.26865671641791</v>
      </c>
      <c r="U9" s="93">
        <f>'Basisdaten Rev'!R39/U1</f>
        <v>20.326492537313431</v>
      </c>
      <c r="V9" s="93">
        <f>'Basisdaten Rev'!S39/V1</f>
        <v>41.725746268656714</v>
      </c>
      <c r="W9" s="93">
        <f>'Basisdaten Rev'!T39/W1</f>
        <v>55.587686567164177</v>
      </c>
      <c r="X9" s="93">
        <f>'Basisdaten Rev'!U39/X1</f>
        <v>0</v>
      </c>
      <c r="Y9" s="93">
        <f>'Basisdaten Rev'!V39/Y1</f>
        <v>0</v>
      </c>
      <c r="Z9" s="93">
        <f>'Basisdaten Rev'!W39/Z1</f>
        <v>29.720149253731343</v>
      </c>
      <c r="AA9" s="93">
        <f>'Basisdaten Rev'!X39/AA1</f>
        <v>22.388059701492537</v>
      </c>
      <c r="AB9" s="93">
        <f>'Basisdaten Rev'!Y39/AB1</f>
        <v>30.783582089552237</v>
      </c>
      <c r="AC9" s="93">
        <f>'Basisdaten Rev'!Z39/AC1</f>
        <v>46.64179104477612</v>
      </c>
      <c r="AD9" s="98">
        <f>SUM(R9:AC9)</f>
        <v>817.35074626865685</v>
      </c>
      <c r="AE9" s="93">
        <f>'Basisdaten Rev'!AB39/AE1</f>
        <v>14.486940298507461</v>
      </c>
      <c r="AF9" s="93">
        <f>'Basisdaten Rev'!AC39/AF1</f>
        <v>8.9832089552238816</v>
      </c>
      <c r="AG9" s="93">
        <f>'Basisdaten Rev'!AD39/AG1</f>
        <v>5.9235074626865662</v>
      </c>
      <c r="AH9" s="93">
        <f>'Basisdaten Rev'!AE39/AH1</f>
        <v>2.7891791044776122</v>
      </c>
      <c r="AI9" s="93">
        <f>'Basisdaten Rev'!AF39/AI1</f>
        <v>1.6511194029850746</v>
      </c>
      <c r="AJ9" s="93">
        <f>'Basisdaten Rev'!AG39/AJ1</f>
        <v>0</v>
      </c>
      <c r="AK9" s="93">
        <f>'Basisdaten Rev'!AH39/AK1</f>
        <v>0</v>
      </c>
      <c r="AL9" s="93">
        <f>'Basisdaten Rev'!AI39/AL1</f>
        <v>0</v>
      </c>
      <c r="AM9" s="93">
        <f>'Basisdaten Rev'!AJ39/AM1</f>
        <v>0</v>
      </c>
      <c r="AN9" s="93">
        <f>'Basisdaten Rev'!AK39/AN1</f>
        <v>0</v>
      </c>
      <c r="AO9" s="93">
        <f>'Basisdaten Rev'!AL39/AO1</f>
        <v>0</v>
      </c>
      <c r="AP9" s="93">
        <f>'Basisdaten Rev'!AM39/AP1</f>
        <v>0</v>
      </c>
      <c r="AQ9" s="98">
        <f t="shared" si="7"/>
        <v>33.833955223880594</v>
      </c>
    </row>
    <row r="10" spans="1:43">
      <c r="A10" s="35"/>
      <c r="B10" s="67" t="s">
        <v>38</v>
      </c>
      <c r="C10" s="85" t="s">
        <v>109</v>
      </c>
      <c r="D10" s="86" t="s">
        <v>39</v>
      </c>
      <c r="E10" s="93">
        <f>'Basisdaten Rev'!B40/E1</f>
        <v>62.203523466077264</v>
      </c>
      <c r="F10" s="93">
        <f>'Basisdaten Rev'!C40/F1</f>
        <v>28.457366799196684</v>
      </c>
      <c r="G10" s="93">
        <f>'Basisdaten Rev'!D40/G1</f>
        <v>23.406312601797278</v>
      </c>
      <c r="H10" s="93">
        <f>'Basisdaten Rev'!E40/H1</f>
        <v>76.161462300076167</v>
      </c>
      <c r="I10" s="93">
        <f>'Basisdaten Rev'!F40/I1</f>
        <v>64.971227028030455</v>
      </c>
      <c r="J10" s="93">
        <f>'Basisdaten Rev'!G40/J1</f>
        <v>44.843049327354258</v>
      </c>
      <c r="K10" s="93">
        <f>'Basisdaten Rev'!H40/K1</f>
        <v>6.8640909982349481</v>
      </c>
      <c r="L10" s="93">
        <f>'Basisdaten Rev'!I40/L1</f>
        <v>4.4577114427860707</v>
      </c>
      <c r="M10" s="93">
        <f>'Basisdaten Rev'!J40/M1</f>
        <v>19.77551020408163</v>
      </c>
      <c r="N10" s="93">
        <f>'Basisdaten Rev'!K40/N1</f>
        <v>8.097165991902834</v>
      </c>
      <c r="O10" s="93">
        <f>'Basisdaten Rev'!L40/O1</f>
        <v>8.1940441882804986</v>
      </c>
      <c r="P10" s="93">
        <f>'Basisdaten Rev'!M40/P1</f>
        <v>2.7332089552238807</v>
      </c>
      <c r="Q10" s="98">
        <f>SUM(E10:P10)</f>
        <v>350.16467330304192</v>
      </c>
      <c r="R10" s="93">
        <f>'Basisdaten Rev'!O40/R1</f>
        <v>13.861940298507461</v>
      </c>
      <c r="S10" s="93">
        <f>'Basisdaten Rev'!P40/S1</f>
        <v>11.529850746268655</v>
      </c>
      <c r="T10" s="93">
        <f>'Basisdaten Rev'!Q40/T1</f>
        <v>4.580223880597015</v>
      </c>
      <c r="U10" s="93">
        <f>'Basisdaten Rev'!R40/U1</f>
        <v>6.567164179104477</v>
      </c>
      <c r="V10" s="93">
        <f>'Basisdaten Rev'!S40/V1</f>
        <v>2.6305970149253728</v>
      </c>
      <c r="W10" s="93">
        <f>'Basisdaten Rev'!T40/W1</f>
        <v>1.7444029850746268</v>
      </c>
      <c r="X10" s="93">
        <f>'Basisdaten Rev'!U40/X1</f>
        <v>0</v>
      </c>
      <c r="Y10" s="93">
        <f>'Basisdaten Rev'!V40/Y1</f>
        <v>0</v>
      </c>
      <c r="Z10" s="93">
        <f>'Basisdaten Rev'!W40/Z1</f>
        <v>2.0429104477611939</v>
      </c>
      <c r="AA10" s="93">
        <f>'Basisdaten Rev'!X40/AA1</f>
        <v>2.7985074626865671</v>
      </c>
      <c r="AB10" s="93">
        <f>'Basisdaten Rev'!Y40/AB1</f>
        <v>1.8656716417910446</v>
      </c>
      <c r="AC10" s="93">
        <f>'Basisdaten Rev'!Z40/AC1</f>
        <v>4.6641791044776113</v>
      </c>
      <c r="AD10" s="98">
        <f>SUM(R10:AC10)</f>
        <v>52.285447761194028</v>
      </c>
      <c r="AE10" s="93">
        <f>'Basisdaten Rev'!AB40/AE1</f>
        <v>1.1287313432835819</v>
      </c>
      <c r="AF10" s="93">
        <f>'Basisdaten Rev'!AC40/AF1</f>
        <v>1.7817164179104477</v>
      </c>
      <c r="AG10" s="93">
        <f>'Basisdaten Rev'!AD40/AG1</f>
        <v>1.1007462686567162</v>
      </c>
      <c r="AH10" s="93">
        <f>'Basisdaten Rev'!AE40/AH1</f>
        <v>0.57835820895522383</v>
      </c>
      <c r="AI10" s="93">
        <f>'Basisdaten Rev'!AF40/AI1</f>
        <v>1.8656716417910446E-2</v>
      </c>
      <c r="AJ10" s="93">
        <f>'Basisdaten Rev'!AG40/AJ1</f>
        <v>0</v>
      </c>
      <c r="AK10" s="93">
        <f>'Basisdaten Rev'!AH40/AK1</f>
        <v>0</v>
      </c>
      <c r="AL10" s="93">
        <f>'Basisdaten Rev'!AI40/AL1</f>
        <v>0</v>
      </c>
      <c r="AM10" s="93">
        <f>'Basisdaten Rev'!AJ40/AM1</f>
        <v>0</v>
      </c>
      <c r="AN10" s="93">
        <f>'Basisdaten Rev'!AK40/AN1</f>
        <v>0</v>
      </c>
      <c r="AO10" s="93">
        <f>'Basisdaten Rev'!AL40/AO1</f>
        <v>0</v>
      </c>
      <c r="AP10" s="93">
        <f>'Basisdaten Rev'!AM40/AP1</f>
        <v>0</v>
      </c>
      <c r="AQ10" s="98">
        <f t="shared" si="7"/>
        <v>4.6082089552238799</v>
      </c>
    </row>
    <row r="11" spans="1:43">
      <c r="A11" s="35"/>
      <c r="B11" s="39" t="s">
        <v>35</v>
      </c>
      <c r="C11" s="59" t="s">
        <v>108</v>
      </c>
      <c r="D11" s="63" t="s">
        <v>40</v>
      </c>
      <c r="E11" s="94">
        <f>'Basisdaten Rev'!B10</f>
        <v>10885.82</v>
      </c>
      <c r="F11" s="94">
        <f>'Basisdaten Rev'!C10</f>
        <v>16352.77</v>
      </c>
      <c r="G11" s="94">
        <f>'Basisdaten Rev'!D10</f>
        <v>17502.91</v>
      </c>
      <c r="H11" s="94">
        <f>'Basisdaten Rev'!E10</f>
        <v>11473</v>
      </c>
      <c r="I11" s="94">
        <f>'Basisdaten Rev'!F10</f>
        <v>11524</v>
      </c>
      <c r="J11" s="94">
        <f>'Basisdaten Rev'!G10</f>
        <v>13147</v>
      </c>
      <c r="K11" s="94">
        <f>'Basisdaten Rev'!H10</f>
        <v>15356.92</v>
      </c>
      <c r="L11" s="94">
        <f>'Basisdaten Rev'!I10</f>
        <v>12314.45</v>
      </c>
      <c r="M11" s="94">
        <f>'Basisdaten Rev'!J10</f>
        <v>18827.18</v>
      </c>
      <c r="N11" s="94">
        <f>'Basisdaten Rev'!K10</f>
        <v>19947.37</v>
      </c>
      <c r="O11" s="95">
        <f>'Basisdaten Rev'!L10</f>
        <v>20004.72</v>
      </c>
      <c r="P11" s="96">
        <f>'Basisdaten Rev'!M10</f>
        <v>17849.830000000002</v>
      </c>
      <c r="Q11" s="99">
        <f>SUM(E11:P11)</f>
        <v>185185.96999999997</v>
      </c>
      <c r="R11" s="94">
        <f>'Basisdaten Rev'!O10</f>
        <v>12115.19</v>
      </c>
      <c r="S11" s="94">
        <f>'Basisdaten Rev'!P10</f>
        <v>16838.419999999998</v>
      </c>
      <c r="T11" s="94">
        <f>'Basisdaten Rev'!Q10</f>
        <v>19526.7</v>
      </c>
      <c r="U11" s="94">
        <f>'Basisdaten Rev'!R10</f>
        <v>17460.259999999998</v>
      </c>
      <c r="V11" s="94">
        <f>'Basisdaten Rev'!S10</f>
        <v>16074.71</v>
      </c>
      <c r="W11" s="94">
        <f>'Basisdaten Rev'!T10</f>
        <v>12064.07</v>
      </c>
      <c r="X11" s="94">
        <f>'Basisdaten Rev'!U10</f>
        <v>10524.85</v>
      </c>
      <c r="Y11" s="94">
        <f>'Basisdaten Rev'!V10</f>
        <v>8866.76</v>
      </c>
      <c r="Z11" s="94">
        <f>'Basisdaten Rev'!W10</f>
        <v>8899.7799999999988</v>
      </c>
      <c r="AA11" s="94">
        <f>'Basisdaten Rev'!X10</f>
        <v>8182.09</v>
      </c>
      <c r="AB11" s="95">
        <f>'Basisdaten Rev'!Y10</f>
        <v>6416</v>
      </c>
      <c r="AC11" s="96">
        <f>'Basisdaten Rev'!Z10</f>
        <v>5739.94</v>
      </c>
      <c r="AD11" s="99">
        <f>SUM(R11:AC11)</f>
        <v>142708.77000000002</v>
      </c>
      <c r="AE11" s="94">
        <f>'Basisdaten Rev'!AB10</f>
        <v>3964</v>
      </c>
      <c r="AF11" s="94">
        <f>'Basisdaten Rev'!AC10</f>
        <v>5547</v>
      </c>
      <c r="AG11" s="94">
        <f>'Basisdaten Rev'!AD10</f>
        <v>4058</v>
      </c>
      <c r="AH11" s="94">
        <f>'Basisdaten Rev'!AE10</f>
        <v>4111.53</v>
      </c>
      <c r="AI11" s="94">
        <f>'Basisdaten Rev'!AF10</f>
        <v>3733.44</v>
      </c>
      <c r="AJ11" s="94">
        <f>'Basisdaten Rev'!AG10</f>
        <v>8225.74</v>
      </c>
      <c r="AK11" s="94">
        <f>'Basisdaten Rev'!AH10</f>
        <v>6275.28</v>
      </c>
      <c r="AL11" s="94">
        <f>'Basisdaten Rev'!AI10</f>
        <v>2904.67</v>
      </c>
      <c r="AM11" s="94">
        <f>'Basisdaten Rev'!AJ10</f>
        <v>0</v>
      </c>
      <c r="AN11" s="94">
        <f>'Basisdaten Rev'!AK10</f>
        <v>0</v>
      </c>
      <c r="AO11" s="95">
        <f>'Basisdaten Rev'!AL10</f>
        <v>0</v>
      </c>
      <c r="AP11" s="96">
        <f>'Basisdaten Rev'!AM10</f>
        <v>0</v>
      </c>
      <c r="AQ11" s="99">
        <f t="shared" si="7"/>
        <v>38819.659999999996</v>
      </c>
    </row>
    <row r="12" spans="1:43">
      <c r="A12" s="35"/>
      <c r="B12" s="67" t="s">
        <v>36</v>
      </c>
      <c r="C12" s="85" t="s">
        <v>108</v>
      </c>
      <c r="D12" s="86" t="s">
        <v>40</v>
      </c>
      <c r="E12" s="93">
        <f>'Basisdaten Rev'!B22</f>
        <v>29537.17</v>
      </c>
      <c r="F12" s="93">
        <f>'Basisdaten Rev'!C22</f>
        <v>26902.35</v>
      </c>
      <c r="G12" s="93">
        <f>'Basisdaten Rev'!D22</f>
        <v>22790.400000000001</v>
      </c>
      <c r="H12" s="93">
        <f>'Basisdaten Rev'!E22</f>
        <v>16723.400000000001</v>
      </c>
      <c r="I12" s="93">
        <f>'Basisdaten Rev'!F22</f>
        <v>14832.33</v>
      </c>
      <c r="J12" s="93">
        <f>'Basisdaten Rev'!G22</f>
        <v>15324.78</v>
      </c>
      <c r="K12" s="93">
        <f>'Basisdaten Rev'!H22</f>
        <v>16857.857142857145</v>
      </c>
      <c r="L12" s="93">
        <f>'Basisdaten Rev'!I22</f>
        <v>10526.029702970296</v>
      </c>
      <c r="M12" s="93">
        <f>'Basisdaten Rev'!J22</f>
        <v>15791.307171717172</v>
      </c>
      <c r="N12" s="93">
        <f>'Basisdaten Rev'!K22</f>
        <v>15767.45</v>
      </c>
      <c r="O12" s="143">
        <f>'Basisdaten Rev'!L22</f>
        <v>17918.38</v>
      </c>
      <c r="P12" s="97">
        <f>'Basisdaten Rev'!M22</f>
        <v>19401.689999999999</v>
      </c>
      <c r="Q12" s="98">
        <f t="shared" ref="Q12:Q40" si="8">SUM(E12:P12)</f>
        <v>222373.14401754463</v>
      </c>
      <c r="R12" s="93">
        <f>'Basisdaten Rev'!O22</f>
        <v>14766.85</v>
      </c>
      <c r="S12" s="93">
        <f>'Basisdaten Rev'!P22</f>
        <v>9600.7099999999991</v>
      </c>
      <c r="T12" s="93">
        <f>'Basisdaten Rev'!Q22</f>
        <v>16667.8</v>
      </c>
      <c r="U12" s="93">
        <f>'Basisdaten Rev'!R22</f>
        <v>12896.85</v>
      </c>
      <c r="V12" s="93">
        <f>'Basisdaten Rev'!S22</f>
        <v>12624.44</v>
      </c>
      <c r="W12" s="93">
        <f>'Basisdaten Rev'!T22</f>
        <v>15598.35</v>
      </c>
      <c r="X12" s="93">
        <f>'Basisdaten Rev'!U22</f>
        <v>21069</v>
      </c>
      <c r="Y12" s="93">
        <f>'Basisdaten Rev'!V22</f>
        <v>17973.599999999999</v>
      </c>
      <c r="Z12" s="93">
        <f>'Basisdaten Rev'!W22</f>
        <v>20300</v>
      </c>
      <c r="AA12" s="93">
        <f>'Basisdaten Rev'!X22</f>
        <v>30732.639999999999</v>
      </c>
      <c r="AB12" s="93">
        <f>'Basisdaten Rev'!Y22</f>
        <v>37390</v>
      </c>
      <c r="AC12" s="93">
        <f>'Basisdaten Rev'!Z22</f>
        <v>39203</v>
      </c>
      <c r="AD12" s="98">
        <f t="shared" ref="AD12:AD40" si="9">SUM(R12:AC12)</f>
        <v>248823.24</v>
      </c>
      <c r="AE12" s="93">
        <f>'Basisdaten Rev'!AB22</f>
        <v>32235.23</v>
      </c>
      <c r="AF12" s="93">
        <f>'Basisdaten Rev'!AC22</f>
        <v>37650</v>
      </c>
      <c r="AG12" s="93">
        <f>'Basisdaten Rev'!AD22</f>
        <v>57422</v>
      </c>
      <c r="AH12" s="93">
        <f>'Basisdaten Rev'!AE22</f>
        <v>49310.73</v>
      </c>
      <c r="AI12" s="93">
        <f>'Basisdaten Rev'!AF22</f>
        <v>33841.47</v>
      </c>
      <c r="AJ12" s="93">
        <f>'Basisdaten Rev'!AG22</f>
        <v>34140.9</v>
      </c>
      <c r="AK12" s="93">
        <f>'Basisdaten Rev'!AH22</f>
        <v>34577.67</v>
      </c>
      <c r="AL12" s="93">
        <f>'Basisdaten Rev'!AI22</f>
        <v>0</v>
      </c>
      <c r="AM12" s="93">
        <f>'Basisdaten Rev'!AJ22</f>
        <v>0</v>
      </c>
      <c r="AN12" s="93">
        <f>'Basisdaten Rev'!AK22</f>
        <v>0</v>
      </c>
      <c r="AO12" s="93">
        <f>'Basisdaten Rev'!AL22</f>
        <v>0</v>
      </c>
      <c r="AP12" s="93">
        <f>'Basisdaten Rev'!AM22</f>
        <v>0</v>
      </c>
      <c r="AQ12" s="98">
        <f t="shared" si="7"/>
        <v>279178</v>
      </c>
    </row>
    <row r="13" spans="1:43">
      <c r="A13" s="35"/>
      <c r="B13" s="67" t="s">
        <v>36</v>
      </c>
      <c r="C13" s="85" t="s">
        <v>15</v>
      </c>
      <c r="D13" s="88" t="s">
        <v>40</v>
      </c>
      <c r="E13" s="93">
        <f>'Basisdaten Rev'!B23</f>
        <v>0</v>
      </c>
      <c r="F13" s="93">
        <f>'Basisdaten Rev'!C23</f>
        <v>0</v>
      </c>
      <c r="G13" s="93">
        <f>'Basisdaten Rev'!D23</f>
        <v>0</v>
      </c>
      <c r="H13" s="93">
        <f>'Basisdaten Rev'!E23</f>
        <v>0</v>
      </c>
      <c r="I13" s="93">
        <f>'Basisdaten Rev'!F23</f>
        <v>0</v>
      </c>
      <c r="J13" s="93">
        <f>'Basisdaten Rev'!G23</f>
        <v>0</v>
      </c>
      <c r="K13" s="93">
        <f>'Basisdaten Rev'!H23</f>
        <v>246.46</v>
      </c>
      <c r="L13" s="93">
        <f>'Basisdaten Rev'!I23</f>
        <v>242.46534653465346</v>
      </c>
      <c r="M13" s="93">
        <f>'Basisdaten Rev'!J23</f>
        <v>429.1</v>
      </c>
      <c r="N13" s="93">
        <f>'Basisdaten Rev'!K23</f>
        <v>759.24</v>
      </c>
      <c r="O13" s="143">
        <f>'Basisdaten Rev'!L23</f>
        <v>13465.52</v>
      </c>
      <c r="P13" s="97">
        <f>'Basisdaten Rev'!M23</f>
        <v>16574.3</v>
      </c>
      <c r="Q13" s="98">
        <f t="shared" si="8"/>
        <v>31717.085346534652</v>
      </c>
      <c r="R13" s="93">
        <f>'Basisdaten Rev'!O23</f>
        <v>9672.65</v>
      </c>
      <c r="S13" s="93">
        <f>'Basisdaten Rev'!P23</f>
        <v>5403.11</v>
      </c>
      <c r="T13" s="93">
        <f>'Basisdaten Rev'!Q23</f>
        <v>6114.99</v>
      </c>
      <c r="U13" s="93">
        <f>'Basisdaten Rev'!R23</f>
        <v>4508.67</v>
      </c>
      <c r="V13" s="93">
        <f>'Basisdaten Rev'!S23</f>
        <v>2097.69</v>
      </c>
      <c r="W13" s="93">
        <f>'Basisdaten Rev'!T23</f>
        <v>2943.18</v>
      </c>
      <c r="X13" s="93">
        <f>'Basisdaten Rev'!U23</f>
        <v>2802.51</v>
      </c>
      <c r="Y13" s="93">
        <f>'Basisdaten Rev'!V23</f>
        <v>996.78</v>
      </c>
      <c r="Z13" s="93">
        <f>'Basisdaten Rev'!W23</f>
        <v>1615</v>
      </c>
      <c r="AA13" s="93">
        <f>'Basisdaten Rev'!X23</f>
        <v>1365.43</v>
      </c>
      <c r="AB13" s="93">
        <f>'Basisdaten Rev'!Y23</f>
        <v>816.3</v>
      </c>
      <c r="AC13" s="93">
        <f>'Basisdaten Rev'!Z23</f>
        <v>456</v>
      </c>
      <c r="AD13" s="98">
        <f t="shared" si="9"/>
        <v>38792.31</v>
      </c>
      <c r="AE13" s="93">
        <f>'Basisdaten Rev'!AB23</f>
        <v>305.39999999999998</v>
      </c>
      <c r="AF13" s="93">
        <f>'Basisdaten Rev'!AC23</f>
        <v>617</v>
      </c>
      <c r="AG13" s="93">
        <f>'Basisdaten Rev'!AD23</f>
        <v>875</v>
      </c>
      <c r="AH13" s="93">
        <f>'Basisdaten Rev'!AE23</f>
        <v>1018.38</v>
      </c>
      <c r="AI13" s="93">
        <f>'Basisdaten Rev'!AF23</f>
        <v>1905.16</v>
      </c>
      <c r="AJ13" s="93">
        <f>'Basisdaten Rev'!AG23</f>
        <v>2693.33</v>
      </c>
      <c r="AK13" s="93">
        <f>'Basisdaten Rev'!AH23</f>
        <v>1190.67</v>
      </c>
      <c r="AL13" s="93">
        <f>'Basisdaten Rev'!AI23</f>
        <v>0</v>
      </c>
      <c r="AM13" s="93">
        <f>'Basisdaten Rev'!AJ23</f>
        <v>0</v>
      </c>
      <c r="AN13" s="93">
        <f>'Basisdaten Rev'!AK23</f>
        <v>0</v>
      </c>
      <c r="AO13" s="93">
        <f>'Basisdaten Rev'!AL23</f>
        <v>0</v>
      </c>
      <c r="AP13" s="93">
        <f>'Basisdaten Rev'!AM23</f>
        <v>0</v>
      </c>
      <c r="AQ13" s="98">
        <f t="shared" si="7"/>
        <v>8604.94</v>
      </c>
    </row>
    <row r="14" spans="1:43">
      <c r="A14" s="35"/>
      <c r="B14" s="67" t="s">
        <v>36</v>
      </c>
      <c r="C14" s="177" t="s">
        <v>227</v>
      </c>
      <c r="D14" s="178" t="s">
        <v>228</v>
      </c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/>
      <c r="P14" s="181"/>
      <c r="Q14" s="182"/>
      <c r="R14" s="179">
        <f>'Basisdaten Rev'!O24</f>
        <v>0</v>
      </c>
      <c r="S14" s="179">
        <f>'Basisdaten Rev'!P24</f>
        <v>0</v>
      </c>
      <c r="T14" s="179">
        <f>'Basisdaten Rev'!Q24</f>
        <v>0</v>
      </c>
      <c r="U14" s="179">
        <f>'Basisdaten Rev'!R24</f>
        <v>0</v>
      </c>
      <c r="V14" s="179">
        <f>'Basisdaten Rev'!S24</f>
        <v>0</v>
      </c>
      <c r="W14" s="179">
        <f>'Basisdaten Rev'!T24</f>
        <v>0</v>
      </c>
      <c r="X14" s="179">
        <f>'Basisdaten Rev'!U24</f>
        <v>1222.6300000000001</v>
      </c>
      <c r="Y14" s="179">
        <f>'Basisdaten Rev'!V24</f>
        <v>887.68</v>
      </c>
      <c r="Z14" s="179">
        <f>'Basisdaten Rev'!W24</f>
        <v>998</v>
      </c>
      <c r="AA14" s="179">
        <f>'Basisdaten Rev'!X24</f>
        <v>795.82</v>
      </c>
      <c r="AB14" s="179">
        <f>'Basisdaten Rev'!Y24</f>
        <v>628.91</v>
      </c>
      <c r="AC14" s="179">
        <f>'Basisdaten Rev'!Z24</f>
        <v>815</v>
      </c>
      <c r="AD14" s="182"/>
      <c r="AE14" s="179">
        <f>'Basisdaten Rev'!AB24</f>
        <v>739.29</v>
      </c>
      <c r="AF14" s="179">
        <f>'Basisdaten Rev'!AC24</f>
        <v>793</v>
      </c>
      <c r="AG14" s="179">
        <f>'Basisdaten Rev'!AD24</f>
        <v>1004</v>
      </c>
      <c r="AH14" s="179">
        <f>'Basisdaten Rev'!AE24</f>
        <v>980.95</v>
      </c>
      <c r="AI14" s="179">
        <f>'Basisdaten Rev'!AF24</f>
        <v>1066.26</v>
      </c>
      <c r="AJ14" s="179">
        <f>'Basisdaten Rev'!AG24</f>
        <v>1586.8</v>
      </c>
      <c r="AK14" s="179">
        <f>'Basisdaten Rev'!AH24</f>
        <v>1492.11</v>
      </c>
      <c r="AL14" s="179">
        <f>'Basisdaten Rev'!AI24</f>
        <v>0</v>
      </c>
      <c r="AM14" s="179">
        <f>'Basisdaten Rev'!AJ24</f>
        <v>0</v>
      </c>
      <c r="AN14" s="179">
        <f>'Basisdaten Rev'!AK24</f>
        <v>0</v>
      </c>
      <c r="AO14" s="179">
        <f>'Basisdaten Rev'!AL24</f>
        <v>0</v>
      </c>
      <c r="AP14" s="179">
        <f>'Basisdaten Rev'!AM24</f>
        <v>0</v>
      </c>
      <c r="AQ14" s="182"/>
    </row>
    <row r="15" spans="1:43">
      <c r="A15" s="35"/>
      <c r="B15" s="67" t="s">
        <v>36</v>
      </c>
      <c r="C15" s="85" t="s">
        <v>109</v>
      </c>
      <c r="D15" s="88" t="s">
        <v>40</v>
      </c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8">
        <f t="shared" si="8"/>
        <v>0</v>
      </c>
      <c r="R15" s="93">
        <f>'Basisdaten Rev'!O25</f>
        <v>821.7</v>
      </c>
      <c r="S15" s="93">
        <f>'Basisdaten Rev'!P25</f>
        <v>843.35</v>
      </c>
      <c r="T15" s="93">
        <f>'Basisdaten Rev'!Q25</f>
        <v>760.42</v>
      </c>
      <c r="U15" s="93">
        <f>'Basisdaten Rev'!R25</f>
        <v>386.74</v>
      </c>
      <c r="V15" s="93">
        <f>'Basisdaten Rev'!S25</f>
        <v>557.61</v>
      </c>
      <c r="W15" s="93">
        <f>'Basisdaten Rev'!T25</f>
        <v>328.61</v>
      </c>
      <c r="X15" s="93">
        <f>'Basisdaten Rev'!U25</f>
        <v>700.62</v>
      </c>
      <c r="Y15" s="93">
        <f>'Basisdaten Rev'!V25</f>
        <v>476.17</v>
      </c>
      <c r="Z15" s="93">
        <f>'Basisdaten Rev'!W25</f>
        <v>429</v>
      </c>
      <c r="AA15" s="93">
        <f>'Basisdaten Rev'!X25</f>
        <v>279.66000000000003</v>
      </c>
      <c r="AB15" s="93">
        <f>'Basisdaten Rev'!Y25</f>
        <v>99.24</v>
      </c>
      <c r="AC15" s="93">
        <f>'Basisdaten Rev'!Z25</f>
        <v>86</v>
      </c>
      <c r="AD15" s="98">
        <f t="shared" si="9"/>
        <v>5769.12</v>
      </c>
      <c r="AE15" s="93">
        <f>'Basisdaten Rev'!AB25</f>
        <v>16.07</v>
      </c>
      <c r="AF15" s="93">
        <f>'Basisdaten Rev'!AC25</f>
        <v>35</v>
      </c>
      <c r="AG15" s="93">
        <f>'Basisdaten Rev'!AD25</f>
        <v>0</v>
      </c>
      <c r="AH15" s="93">
        <f>'Basisdaten Rev'!AE25</f>
        <v>0</v>
      </c>
      <c r="AI15" s="93">
        <f>'Basisdaten Rev'!AF25</f>
        <v>0</v>
      </c>
      <c r="AJ15" s="93">
        <f>'Basisdaten Rev'!AG25</f>
        <v>0</v>
      </c>
      <c r="AK15" s="93">
        <f>'Basisdaten Rev'!AH25</f>
        <v>0</v>
      </c>
      <c r="AL15" s="93">
        <f>'Basisdaten Rev'!AI25</f>
        <v>0</v>
      </c>
      <c r="AM15" s="93">
        <f>'Basisdaten Rev'!AJ25</f>
        <v>0</v>
      </c>
      <c r="AN15" s="93">
        <f>'Basisdaten Rev'!AK25</f>
        <v>0</v>
      </c>
      <c r="AO15" s="93">
        <f>'Basisdaten Rev'!AL25</f>
        <v>0</v>
      </c>
      <c r="AP15" s="93">
        <f>'Basisdaten Rev'!AM25</f>
        <v>0</v>
      </c>
      <c r="AQ15" s="98">
        <f t="shared" ref="AQ15:AQ40" si="10">SUM(AE15:AP15)</f>
        <v>51.07</v>
      </c>
    </row>
    <row r="16" spans="1:43">
      <c r="A16" s="35"/>
      <c r="B16" s="33" t="s">
        <v>43</v>
      </c>
      <c r="C16" s="59" t="s">
        <v>108</v>
      </c>
      <c r="D16" s="33" t="s">
        <v>40</v>
      </c>
      <c r="E16" s="94">
        <f>'Basisdaten Rev'!B46</f>
        <v>3030</v>
      </c>
      <c r="F16" s="94">
        <f>'Basisdaten Rev'!C46</f>
        <v>2560</v>
      </c>
      <c r="G16" s="94">
        <f>'Basisdaten Rev'!D46</f>
        <v>1442</v>
      </c>
      <c r="H16" s="94">
        <f>'Basisdaten Rev'!E46</f>
        <v>2667</v>
      </c>
      <c r="I16" s="94">
        <f>'Basisdaten Rev'!F46</f>
        <v>3343</v>
      </c>
      <c r="J16" s="94">
        <f>'Basisdaten Rev'!G46</f>
        <v>4100</v>
      </c>
      <c r="K16" s="94">
        <f>'Basisdaten Rev'!H46</f>
        <v>3559</v>
      </c>
      <c r="L16" s="94">
        <f>'Basisdaten Rev'!I46</f>
        <v>3906</v>
      </c>
      <c r="M16" s="94">
        <f>'Basisdaten Rev'!J46</f>
        <v>4606</v>
      </c>
      <c r="N16" s="94">
        <f>'Basisdaten Rev'!K46</f>
        <v>5898.86</v>
      </c>
      <c r="O16" s="94">
        <f>'Basisdaten Rev'!L46</f>
        <v>9662.5400000000009</v>
      </c>
      <c r="P16" s="96">
        <f>'Basisdaten Rev'!M46</f>
        <v>10887.6</v>
      </c>
      <c r="Q16" s="99">
        <f t="shared" si="8"/>
        <v>55662</v>
      </c>
      <c r="R16" s="94">
        <f>'Basisdaten Rev'!O46</f>
        <v>1215.81</v>
      </c>
      <c r="S16" s="94">
        <f>'Basisdaten Rev'!P46</f>
        <v>15</v>
      </c>
      <c r="T16" s="94">
        <f>'Basisdaten Rev'!Q46</f>
        <v>39.43</v>
      </c>
      <c r="U16" s="94">
        <f>'Basisdaten Rev'!R46</f>
        <v>17.52</v>
      </c>
      <c r="V16" s="94">
        <f>'Basisdaten Rev'!S46</f>
        <v>20</v>
      </c>
      <c r="W16" s="94">
        <f>'Basisdaten Rev'!T46</f>
        <v>20</v>
      </c>
      <c r="X16" s="94">
        <f>'Basisdaten Rev'!U46</f>
        <v>30</v>
      </c>
      <c r="Y16" s="94">
        <f>'Basisdaten Rev'!V46</f>
        <v>18</v>
      </c>
      <c r="Z16" s="94">
        <f>'Basisdaten Rev'!W46</f>
        <v>20</v>
      </c>
      <c r="AA16" s="94">
        <f>'Basisdaten Rev'!X46</f>
        <v>20</v>
      </c>
      <c r="AB16" s="94">
        <f>'Basisdaten Rev'!Y46</f>
        <v>0</v>
      </c>
      <c r="AC16" s="96">
        <f>'Basisdaten Rev'!Z46</f>
        <v>0</v>
      </c>
      <c r="AD16" s="99">
        <f t="shared" si="9"/>
        <v>1415.76</v>
      </c>
      <c r="AE16" s="94">
        <f>'Basisdaten Rev'!AB46</f>
        <v>0</v>
      </c>
      <c r="AF16" s="94">
        <f>'Basisdaten Rev'!AC46</f>
        <v>0</v>
      </c>
      <c r="AG16" s="94">
        <f>'Basisdaten Rev'!AD46</f>
        <v>0</v>
      </c>
      <c r="AH16" s="94">
        <f>'Basisdaten Rev'!AE46</f>
        <v>0</v>
      </c>
      <c r="AI16" s="94">
        <f>'Basisdaten Rev'!AF46</f>
        <v>0</v>
      </c>
      <c r="AJ16" s="94">
        <f>'Basisdaten Rev'!AG46</f>
        <v>0</v>
      </c>
      <c r="AK16" s="94">
        <f>'Basisdaten Rev'!AH46</f>
        <v>0</v>
      </c>
      <c r="AL16" s="94">
        <f>'Basisdaten Rev'!AI46</f>
        <v>0</v>
      </c>
      <c r="AM16" s="94">
        <f>'Basisdaten Rev'!AJ46</f>
        <v>0</v>
      </c>
      <c r="AN16" s="94">
        <f>'Basisdaten Rev'!AK46</f>
        <v>0</v>
      </c>
      <c r="AO16" s="94">
        <f>'Basisdaten Rev'!AL46</f>
        <v>0</v>
      </c>
      <c r="AP16" s="96">
        <f>'Basisdaten Rev'!AM46</f>
        <v>0</v>
      </c>
      <c r="AQ16" s="99">
        <f t="shared" si="10"/>
        <v>0</v>
      </c>
    </row>
    <row r="17" spans="1:43">
      <c r="A17" s="35"/>
      <c r="B17" s="33" t="s">
        <v>42</v>
      </c>
      <c r="C17" s="59" t="s">
        <v>108</v>
      </c>
      <c r="D17" s="33" t="s">
        <v>40</v>
      </c>
      <c r="E17" s="94">
        <f>'Basisdaten Rev'!B45</f>
        <v>3308</v>
      </c>
      <c r="F17" s="94">
        <f>'Basisdaten Rev'!C45</f>
        <v>375</v>
      </c>
      <c r="G17" s="94">
        <f>'Basisdaten Rev'!D45</f>
        <v>1530</v>
      </c>
      <c r="H17" s="94">
        <f>'Basisdaten Rev'!E45</f>
        <v>3623</v>
      </c>
      <c r="I17" s="94">
        <f>'Basisdaten Rev'!F45</f>
        <v>1713</v>
      </c>
      <c r="J17" s="94">
        <f>'Basisdaten Rev'!G45</f>
        <v>0</v>
      </c>
      <c r="K17" s="94">
        <f>'Basisdaten Rev'!H45</f>
        <v>900</v>
      </c>
      <c r="L17" s="94">
        <f>'Basisdaten Rev'!I45</f>
        <v>2700</v>
      </c>
      <c r="M17" s="94">
        <f>'Basisdaten Rev'!J45</f>
        <v>1600</v>
      </c>
      <c r="N17" s="94">
        <f>'Basisdaten Rev'!K45</f>
        <v>1950</v>
      </c>
      <c r="O17" s="94">
        <f>'Basisdaten Rev'!L45</f>
        <v>1150</v>
      </c>
      <c r="P17" s="94">
        <f>'Basisdaten Rev'!M45</f>
        <v>2100</v>
      </c>
      <c r="Q17" s="99">
        <f t="shared" si="8"/>
        <v>20949</v>
      </c>
      <c r="R17" s="94">
        <f>'Basisdaten Rev'!O45</f>
        <v>1750</v>
      </c>
      <c r="S17" s="94">
        <f>'Basisdaten Rev'!P45</f>
        <v>1750</v>
      </c>
      <c r="T17" s="94">
        <f>'Basisdaten Rev'!Q45</f>
        <v>2400</v>
      </c>
      <c r="U17" s="94">
        <f>'Basisdaten Rev'!R45</f>
        <v>2900</v>
      </c>
      <c r="V17" s="94">
        <f>'Basisdaten Rev'!S45</f>
        <v>2250</v>
      </c>
      <c r="W17" s="94">
        <f>'Basisdaten Rev'!T45</f>
        <v>1300</v>
      </c>
      <c r="X17" s="94">
        <f>'Basisdaten Rev'!U45</f>
        <v>1300</v>
      </c>
      <c r="Y17" s="94">
        <f>'Basisdaten Rev'!V45</f>
        <v>2700</v>
      </c>
      <c r="Z17" s="94">
        <f>'Basisdaten Rev'!W45</f>
        <v>4050</v>
      </c>
      <c r="AA17" s="94">
        <f>'Basisdaten Rev'!X45</f>
        <v>2900</v>
      </c>
      <c r="AB17" s="94">
        <f>'Basisdaten Rev'!Y45</f>
        <v>1790</v>
      </c>
      <c r="AC17" s="94">
        <f>'Basisdaten Rev'!Z45</f>
        <v>1769</v>
      </c>
      <c r="AD17" s="99">
        <f t="shared" si="9"/>
        <v>26859</v>
      </c>
      <c r="AE17" s="94">
        <f>'Basisdaten Rev'!AB45</f>
        <v>4500</v>
      </c>
      <c r="AF17" s="94">
        <f>'Basisdaten Rev'!AC45</f>
        <v>3150</v>
      </c>
      <c r="AG17" s="94">
        <f>'Basisdaten Rev'!AD45</f>
        <v>1700</v>
      </c>
      <c r="AH17" s="94">
        <f>'Basisdaten Rev'!AE45</f>
        <v>1277</v>
      </c>
      <c r="AI17" s="94">
        <f>'Basisdaten Rev'!AF45</f>
        <v>740.67</v>
      </c>
      <c r="AJ17" s="94">
        <f>'Basisdaten Rev'!AG45</f>
        <v>817.5</v>
      </c>
      <c r="AK17" s="94">
        <f>'Basisdaten Rev'!AH45</f>
        <v>6217.5</v>
      </c>
      <c r="AL17" s="94">
        <f>'Basisdaten Rev'!AI45</f>
        <v>2577.5</v>
      </c>
      <c r="AM17" s="94">
        <f>'Basisdaten Rev'!AJ45</f>
        <v>0</v>
      </c>
      <c r="AN17" s="94">
        <f>'Basisdaten Rev'!AK45</f>
        <v>0</v>
      </c>
      <c r="AO17" s="94">
        <f>'Basisdaten Rev'!AL45</f>
        <v>0</v>
      </c>
      <c r="AP17" s="94">
        <f>'Basisdaten Rev'!AM45</f>
        <v>0</v>
      </c>
      <c r="AQ17" s="99">
        <f t="shared" si="10"/>
        <v>20980.17</v>
      </c>
    </row>
    <row r="18" spans="1:43">
      <c r="A18" s="35"/>
      <c r="B18" s="67" t="s">
        <v>25</v>
      </c>
      <c r="C18" s="85" t="s">
        <v>108</v>
      </c>
      <c r="D18" s="86" t="s">
        <v>40</v>
      </c>
      <c r="E18" s="93">
        <f>'Basisdaten Rev'!B51</f>
        <v>42.16</v>
      </c>
      <c r="F18" s="93">
        <f>'Basisdaten Rev'!C51</f>
        <v>55.86</v>
      </c>
      <c r="G18" s="93">
        <f>'Basisdaten Rev'!D51</f>
        <v>67.53</v>
      </c>
      <c r="H18" s="93">
        <f>'Basisdaten Rev'!E51</f>
        <v>98.45</v>
      </c>
      <c r="I18" s="93">
        <f>'Basisdaten Rev'!F51</f>
        <v>55.26</v>
      </c>
      <c r="J18" s="93">
        <f>'Basisdaten Rev'!G51</f>
        <v>74.52</v>
      </c>
      <c r="K18" s="93">
        <f>'Basisdaten Rev'!H51</f>
        <v>135</v>
      </c>
      <c r="L18" s="93">
        <f>'Basisdaten Rev'!I51</f>
        <v>94.65</v>
      </c>
      <c r="M18" s="93">
        <f>'Basisdaten Rev'!J51</f>
        <v>150.49</v>
      </c>
      <c r="N18" s="93">
        <f>'Basisdaten Rev'!K51</f>
        <v>89.44</v>
      </c>
      <c r="O18" s="93">
        <f>'Basisdaten Rev'!L51</f>
        <v>127.66</v>
      </c>
      <c r="P18" s="93">
        <f>'Basisdaten Rev'!M51</f>
        <v>118.93</v>
      </c>
      <c r="Q18" s="98">
        <f t="shared" si="8"/>
        <v>1109.9499999999998</v>
      </c>
      <c r="R18" s="93">
        <f>'Basisdaten Rev'!O51</f>
        <v>55.739999999999995</v>
      </c>
      <c r="S18" s="93">
        <f>'Basisdaten Rev'!P51</f>
        <v>54.99</v>
      </c>
      <c r="T18" s="93">
        <f>'Basisdaten Rev'!Q51</f>
        <v>57.72</v>
      </c>
      <c r="U18" s="93">
        <f>'Basisdaten Rev'!R51</f>
        <v>80.69</v>
      </c>
      <c r="V18" s="93">
        <f>'Basisdaten Rev'!S51</f>
        <v>87.06</v>
      </c>
      <c r="W18" s="93">
        <f>'Basisdaten Rev'!T51</f>
        <v>72.8</v>
      </c>
      <c r="X18" s="93">
        <f>'Basisdaten Rev'!U51</f>
        <v>59.68</v>
      </c>
      <c r="Y18" s="93">
        <f>'Basisdaten Rev'!V51</f>
        <v>47.73</v>
      </c>
      <c r="Z18" s="93">
        <f>'Basisdaten Rev'!W51</f>
        <v>63.47</v>
      </c>
      <c r="AA18" s="93">
        <f>'Basisdaten Rev'!X51</f>
        <v>65.490000000000009</v>
      </c>
      <c r="AB18" s="93">
        <f>'Basisdaten Rev'!Y51</f>
        <v>64.19</v>
      </c>
      <c r="AC18" s="93">
        <f>'Basisdaten Rev'!Z51</f>
        <v>53.379999999999995</v>
      </c>
      <c r="AD18" s="98">
        <f t="shared" si="9"/>
        <v>762.93999999999994</v>
      </c>
      <c r="AE18" s="93">
        <f>'Basisdaten Rev'!AB51</f>
        <v>49.55</v>
      </c>
      <c r="AF18" s="93">
        <f>'Basisdaten Rev'!AC51</f>
        <v>55.51</v>
      </c>
      <c r="AG18" s="93">
        <f>'Basisdaten Rev'!AD51</f>
        <v>7.399</v>
      </c>
      <c r="AH18" s="93">
        <f>'Basisdaten Rev'!AE51</f>
        <v>17.68</v>
      </c>
      <c r="AI18" s="93">
        <f>'Basisdaten Rev'!AF51</f>
        <v>15.309999999999999</v>
      </c>
      <c r="AJ18" s="93">
        <f>'Basisdaten Rev'!AG51</f>
        <v>0</v>
      </c>
      <c r="AK18" s="93">
        <f>'Basisdaten Rev'!AH51</f>
        <v>0</v>
      </c>
      <c r="AL18" s="93">
        <f>'Basisdaten Rev'!AI51</f>
        <v>0</v>
      </c>
      <c r="AM18" s="93">
        <f>'Basisdaten Rev'!AJ51</f>
        <v>0</v>
      </c>
      <c r="AN18" s="93">
        <f>'Basisdaten Rev'!AK51</f>
        <v>0</v>
      </c>
      <c r="AO18" s="93">
        <f>'Basisdaten Rev'!AL51</f>
        <v>0</v>
      </c>
      <c r="AP18" s="93">
        <f>'Basisdaten Rev'!AM51</f>
        <v>0</v>
      </c>
      <c r="AQ18" s="98">
        <f t="shared" si="10"/>
        <v>145.44900000000001</v>
      </c>
    </row>
    <row r="19" spans="1:43">
      <c r="A19" s="35"/>
      <c r="B19" s="67" t="s">
        <v>25</v>
      </c>
      <c r="C19" s="85" t="s">
        <v>15</v>
      </c>
      <c r="D19" s="86" t="s">
        <v>40</v>
      </c>
      <c r="E19" s="93">
        <f>'Basisdaten Rev'!B52</f>
        <v>5</v>
      </c>
      <c r="F19" s="93">
        <f>'Basisdaten Rev'!C52</f>
        <v>3</v>
      </c>
      <c r="G19" s="93">
        <f>'Basisdaten Rev'!D52</f>
        <v>15</v>
      </c>
      <c r="H19" s="93">
        <f>'Basisdaten Rev'!E52</f>
        <v>22</v>
      </c>
      <c r="I19" s="93">
        <f>'Basisdaten Rev'!F52</f>
        <v>14</v>
      </c>
      <c r="J19" s="93">
        <f>'Basisdaten Rev'!G52</f>
        <v>4</v>
      </c>
      <c r="K19" s="93">
        <f>'Basisdaten Rev'!H52</f>
        <v>3</v>
      </c>
      <c r="L19" s="93">
        <f>'Basisdaten Rev'!I52</f>
        <v>2</v>
      </c>
      <c r="M19" s="93">
        <f>'Basisdaten Rev'!J52</f>
        <v>7</v>
      </c>
      <c r="N19" s="93">
        <f>'Basisdaten Rev'!K52</f>
        <v>3</v>
      </c>
      <c r="O19" s="93">
        <f>'Basisdaten Rev'!L52</f>
        <v>3</v>
      </c>
      <c r="P19" s="93">
        <f>'Basisdaten Rev'!M52</f>
        <v>7.66</v>
      </c>
      <c r="Q19" s="98">
        <f t="shared" si="8"/>
        <v>88.66</v>
      </c>
      <c r="R19" s="93">
        <f>'Basisdaten Rev'!O52</f>
        <v>2.99</v>
      </c>
      <c r="S19" s="93">
        <f>'Basisdaten Rev'!P52</f>
        <v>2.38</v>
      </c>
      <c r="T19" s="93">
        <f>'Basisdaten Rev'!Q52</f>
        <v>3.38</v>
      </c>
      <c r="U19" s="93">
        <f>'Basisdaten Rev'!R52</f>
        <v>3.66</v>
      </c>
      <c r="V19" s="93">
        <f>'Basisdaten Rev'!S52</f>
        <v>2.25</v>
      </c>
      <c r="W19" s="93">
        <f>'Basisdaten Rev'!T52</f>
        <v>4.05</v>
      </c>
      <c r="X19" s="93">
        <f>'Basisdaten Rev'!U52</f>
        <v>3.93</v>
      </c>
      <c r="Y19" s="93">
        <f>'Basisdaten Rev'!V52</f>
        <v>1.64</v>
      </c>
      <c r="Z19" s="93">
        <f>'Basisdaten Rev'!W52</f>
        <v>1.37</v>
      </c>
      <c r="AA19" s="93">
        <f>'Basisdaten Rev'!X52</f>
        <v>1.93</v>
      </c>
      <c r="AB19" s="93">
        <f>'Basisdaten Rev'!Y52</f>
        <v>2.4500000000000002</v>
      </c>
      <c r="AC19" s="93">
        <f>'Basisdaten Rev'!Z52</f>
        <v>1.2</v>
      </c>
      <c r="AD19" s="98">
        <f t="shared" si="9"/>
        <v>31.23</v>
      </c>
      <c r="AE19" s="93">
        <f>'Basisdaten Rev'!AB52</f>
        <v>1.1499999999999999</v>
      </c>
      <c r="AF19" s="93">
        <f>'Basisdaten Rev'!AC52</f>
        <v>2.04</v>
      </c>
      <c r="AG19" s="93">
        <f>'Basisdaten Rev'!AD52</f>
        <v>1.1100000000000001</v>
      </c>
      <c r="AH19" s="93">
        <f>'Basisdaten Rev'!AE52</f>
        <v>2.4500000000000002</v>
      </c>
      <c r="AI19" s="93">
        <f>'Basisdaten Rev'!AF52</f>
        <v>2.6</v>
      </c>
      <c r="AJ19" s="93">
        <f>'Basisdaten Rev'!AG52</f>
        <v>0</v>
      </c>
      <c r="AK19" s="93">
        <f>'Basisdaten Rev'!AH52</f>
        <v>0</v>
      </c>
      <c r="AL19" s="93">
        <f>'Basisdaten Rev'!AI52</f>
        <v>0</v>
      </c>
      <c r="AM19" s="93">
        <f>'Basisdaten Rev'!AJ52</f>
        <v>0</v>
      </c>
      <c r="AN19" s="93">
        <f>'Basisdaten Rev'!AK52</f>
        <v>0</v>
      </c>
      <c r="AO19" s="93">
        <f>'Basisdaten Rev'!AL52</f>
        <v>0</v>
      </c>
      <c r="AP19" s="93">
        <f>'Basisdaten Rev'!AM52</f>
        <v>0</v>
      </c>
      <c r="AQ19" s="98">
        <f t="shared" si="10"/>
        <v>9.35</v>
      </c>
    </row>
    <row r="20" spans="1:43">
      <c r="A20" s="35"/>
      <c r="B20" s="67" t="s">
        <v>25</v>
      </c>
      <c r="C20" s="85" t="s">
        <v>109</v>
      </c>
      <c r="D20" s="86" t="s">
        <v>40</v>
      </c>
      <c r="E20" s="93">
        <f>'Basisdaten Rev'!B53</f>
        <v>0</v>
      </c>
      <c r="F20" s="93">
        <f>'Basisdaten Rev'!C53</f>
        <v>0</v>
      </c>
      <c r="G20" s="93">
        <f>'Basisdaten Rev'!D53</f>
        <v>3</v>
      </c>
      <c r="H20" s="93">
        <f>'Basisdaten Rev'!E53</f>
        <v>0</v>
      </c>
      <c r="I20" s="93">
        <f>'Basisdaten Rev'!F53</f>
        <v>0</v>
      </c>
      <c r="J20" s="93">
        <f>'Basisdaten Rev'!G53</f>
        <v>2</v>
      </c>
      <c r="K20" s="93">
        <f>'Basisdaten Rev'!H53</f>
        <v>1</v>
      </c>
      <c r="L20" s="93">
        <f>'Basisdaten Rev'!I53</f>
        <v>1</v>
      </c>
      <c r="M20" s="93">
        <f>'Basisdaten Rev'!J53</f>
        <v>2</v>
      </c>
      <c r="N20" s="93">
        <f>'Basisdaten Rev'!K53</f>
        <v>1</v>
      </c>
      <c r="O20" s="93">
        <f>'Basisdaten Rev'!L53</f>
        <v>1</v>
      </c>
      <c r="P20" s="93">
        <f>'Basisdaten Rev'!M53</f>
        <v>2.4700000000000002</v>
      </c>
      <c r="Q20" s="98">
        <f t="shared" si="8"/>
        <v>13.47</v>
      </c>
      <c r="R20" s="93">
        <f>'Basisdaten Rev'!O53</f>
        <v>3.21</v>
      </c>
      <c r="S20" s="93">
        <f>'Basisdaten Rev'!P53</f>
        <v>2.94</v>
      </c>
      <c r="T20" s="93">
        <f>'Basisdaten Rev'!Q53</f>
        <v>3.3</v>
      </c>
      <c r="U20" s="93">
        <f>'Basisdaten Rev'!R53</f>
        <v>3.32</v>
      </c>
      <c r="V20" s="93">
        <f>'Basisdaten Rev'!S53</f>
        <v>4.21</v>
      </c>
      <c r="W20" s="93">
        <f>'Basisdaten Rev'!T53</f>
        <v>2.31</v>
      </c>
      <c r="X20" s="93">
        <f>'Basisdaten Rev'!U53</f>
        <v>2.4900000000000002</v>
      </c>
      <c r="Y20" s="93">
        <f>'Basisdaten Rev'!V53</f>
        <v>3.84</v>
      </c>
      <c r="Z20" s="93">
        <f>'Basisdaten Rev'!W53</f>
        <v>1.89</v>
      </c>
      <c r="AA20" s="93">
        <f>'Basisdaten Rev'!X53</f>
        <v>1.77</v>
      </c>
      <c r="AB20" s="93">
        <f>'Basisdaten Rev'!Y53</f>
        <v>3.63</v>
      </c>
      <c r="AC20" s="93">
        <f>'Basisdaten Rev'!Z53</f>
        <v>2.69</v>
      </c>
      <c r="AD20" s="98">
        <f t="shared" si="9"/>
        <v>35.6</v>
      </c>
      <c r="AE20" s="93">
        <f>'Basisdaten Rev'!AB53</f>
        <v>0.71</v>
      </c>
      <c r="AF20" s="93">
        <f>'Basisdaten Rev'!AC53</f>
        <v>1.1000000000000001</v>
      </c>
      <c r="AG20" s="93">
        <f>'Basisdaten Rev'!AD53</f>
        <v>0.34</v>
      </c>
      <c r="AH20" s="93">
        <f>'Basisdaten Rev'!AE53</f>
        <v>0.75</v>
      </c>
      <c r="AI20" s="93">
        <f>'Basisdaten Rev'!AF53</f>
        <v>0.56999999999999995</v>
      </c>
      <c r="AJ20" s="93">
        <f>'Basisdaten Rev'!AG53</f>
        <v>0</v>
      </c>
      <c r="AK20" s="93">
        <f>'Basisdaten Rev'!AH53</f>
        <v>0</v>
      </c>
      <c r="AL20" s="93">
        <f>'Basisdaten Rev'!AI53</f>
        <v>0</v>
      </c>
      <c r="AM20" s="93">
        <f>'Basisdaten Rev'!AJ53</f>
        <v>0</v>
      </c>
      <c r="AN20" s="93">
        <f>'Basisdaten Rev'!AK53</f>
        <v>0</v>
      </c>
      <c r="AO20" s="93">
        <f>'Basisdaten Rev'!AL53</f>
        <v>0</v>
      </c>
      <c r="AP20" s="93">
        <f>'Basisdaten Rev'!AM53</f>
        <v>0</v>
      </c>
      <c r="AQ20" s="98">
        <f t="shared" si="10"/>
        <v>3.4699999999999998</v>
      </c>
    </row>
    <row r="21" spans="1:43">
      <c r="A21" s="35"/>
      <c r="B21" s="38" t="s">
        <v>41</v>
      </c>
      <c r="C21" s="58" t="s">
        <v>108</v>
      </c>
      <c r="D21" s="33" t="s">
        <v>39</v>
      </c>
      <c r="E21" s="94">
        <v>298</v>
      </c>
      <c r="F21" s="94">
        <v>307</v>
      </c>
      <c r="G21" s="94">
        <v>302</v>
      </c>
      <c r="H21" s="94">
        <v>365</v>
      </c>
      <c r="I21" s="94">
        <v>299</v>
      </c>
      <c r="J21" s="94">
        <v>278</v>
      </c>
      <c r="K21" s="94">
        <v>260</v>
      </c>
      <c r="L21" s="94">
        <f>'Basisdaten Rev'!I48/L1</f>
        <v>249.65174129353238</v>
      </c>
      <c r="M21" s="94">
        <f>'Basisdaten Rev'!J48/M1</f>
        <v>256.92857142857144</v>
      </c>
      <c r="N21" s="94">
        <f>'Basisdaten Rev'!K48/N1</f>
        <v>226.36639676113361</v>
      </c>
      <c r="O21" s="94">
        <f>'Basisdaten Rev'!L48/O1</f>
        <v>207.48318924111433</v>
      </c>
      <c r="P21" s="94">
        <f>'Basisdaten Rev'!M48/P1</f>
        <v>245.24253731343279</v>
      </c>
      <c r="Q21" s="99">
        <f t="shared" si="8"/>
        <v>3294.6724360377848</v>
      </c>
      <c r="R21" s="94">
        <f>'Basisdaten Rev'!O48/R1</f>
        <v>170.82089552238804</v>
      </c>
      <c r="S21" s="94">
        <f>'Basisdaten Rev'!P48/S1</f>
        <v>223.62873134328356</v>
      </c>
      <c r="T21" s="94">
        <f>'Basisdaten Rev'!Q48/T1</f>
        <v>271.44589552238807</v>
      </c>
      <c r="U21" s="94">
        <f>'Basisdaten Rev'!R48/U1</f>
        <v>292.03358208955223</v>
      </c>
      <c r="V21" s="94">
        <f>'Basisdaten Rev'!S48/V1</f>
        <v>325.93283582089549</v>
      </c>
      <c r="W21" s="94">
        <f>'Basisdaten Rev'!T48/W1</f>
        <v>213.05037313432834</v>
      </c>
      <c r="X21" s="94">
        <f>'Basisdaten Rev'!U48/X1</f>
        <v>238.31156716417908</v>
      </c>
      <c r="Y21" s="94">
        <f>'Basisdaten Rev'!V48/Y1</f>
        <v>186.47388059701493</v>
      </c>
      <c r="Z21" s="94">
        <f>'Basisdaten Rev'!W48/Z1</f>
        <v>156.20335820895519</v>
      </c>
      <c r="AA21" s="94">
        <f>'Basisdaten Rev'!X48/AA1</f>
        <v>171.73507462686567</v>
      </c>
      <c r="AB21" s="94">
        <f>'Basisdaten Rev'!Y48/AB1</f>
        <v>163.89925373134326</v>
      </c>
      <c r="AC21" s="94">
        <f>'Basisdaten Rev'!Z48/AC1</f>
        <v>174.580223880597</v>
      </c>
      <c r="AD21" s="99">
        <f t="shared" si="9"/>
        <v>2588.1156716417904</v>
      </c>
      <c r="AE21" s="94">
        <f>'Basisdaten Rev'!AB48/AE1</f>
        <v>134.74813432835819</v>
      </c>
      <c r="AF21" s="94">
        <f>'Basisdaten Rev'!AC48/AF1</f>
        <v>98.600746268656707</v>
      </c>
      <c r="AG21" s="94">
        <f>'Basisdaten Rev'!AD48/AG1</f>
        <v>103.53544776119402</v>
      </c>
      <c r="AH21" s="94">
        <f>'Basisdaten Rev'!AE48/AH1</f>
        <v>98.40485074626865</v>
      </c>
      <c r="AI21" s="94">
        <f>'Basisdaten Rev'!AF48/AI1</f>
        <v>123.41417910447761</v>
      </c>
      <c r="AJ21" s="94">
        <f>'Basisdaten Rev'!AG48/AJ1</f>
        <v>154.46828358208955</v>
      </c>
      <c r="AK21" s="94">
        <f>'Basisdaten Rev'!AH48/AK1</f>
        <v>126.14738805970147</v>
      </c>
      <c r="AL21" s="94">
        <f>'Basisdaten Rev'!AI48/AL1</f>
        <v>122.16417910447761</v>
      </c>
      <c r="AM21" s="94">
        <f>'Basisdaten Rev'!AJ48/AM1</f>
        <v>0</v>
      </c>
      <c r="AN21" s="94">
        <f>'Basisdaten Rev'!AK48/AN1</f>
        <v>0</v>
      </c>
      <c r="AO21" s="94">
        <f>'Basisdaten Rev'!AL48/AO1</f>
        <v>0</v>
      </c>
      <c r="AP21" s="94">
        <f>'Basisdaten Rev'!AM48/AP1</f>
        <v>0</v>
      </c>
      <c r="AQ21" s="99">
        <f t="shared" si="10"/>
        <v>961.48320895522386</v>
      </c>
    </row>
    <row r="22" spans="1:43">
      <c r="A22" s="35"/>
      <c r="B22" s="38" t="s">
        <v>41</v>
      </c>
      <c r="C22" s="58" t="s">
        <v>15</v>
      </c>
      <c r="D22" s="33" t="s">
        <v>39</v>
      </c>
      <c r="E22" s="94">
        <v>44</v>
      </c>
      <c r="F22" s="94">
        <v>38</v>
      </c>
      <c r="G22" s="94">
        <v>45</v>
      </c>
      <c r="H22" s="94">
        <f>'Basisdaten Rev'!E49/H1</f>
        <v>24.752475247524753</v>
      </c>
      <c r="I22" s="94">
        <f>'Basisdaten Rev'!F49/I1</f>
        <v>0</v>
      </c>
      <c r="J22" s="94">
        <f>'Basisdaten Rev'!G49/J1</f>
        <v>13.357504054956587</v>
      </c>
      <c r="K22" s="94">
        <f>'Basisdaten Rev'!H49/K1</f>
        <v>11.110021572857423</v>
      </c>
      <c r="L22" s="94">
        <f>'Basisdaten Rev'!I49/L1</f>
        <v>10.636815920398011</v>
      </c>
      <c r="M22" s="94">
        <f>'Basisdaten Rev'!J49/M1</f>
        <v>62.551020408163261</v>
      </c>
      <c r="N22" s="94">
        <f>'Basisdaten Rev'!K49/N1</f>
        <v>40.323886639676118</v>
      </c>
      <c r="O22" s="94">
        <f>'Basisdaten Rev'!L49/O1</f>
        <v>67.934678194044196</v>
      </c>
      <c r="P22" s="94">
        <f>'Basisdaten Rev'!M49/P1</f>
        <v>138.38619402985074</v>
      </c>
      <c r="Q22" s="99">
        <f t="shared" si="8"/>
        <v>496.05259606747109</v>
      </c>
      <c r="R22" s="94">
        <f>'Basisdaten Rev'!O49/R1</f>
        <v>101.58582089552239</v>
      </c>
      <c r="S22" s="94">
        <f>'Basisdaten Rev'!P49/S1</f>
        <v>320.61567164179104</v>
      </c>
      <c r="T22" s="94">
        <f>'Basisdaten Rev'!Q49/T1</f>
        <v>170.77425373134326</v>
      </c>
      <c r="U22" s="94">
        <f>'Basisdaten Rev'!R49/U1</f>
        <v>152.00559701492534</v>
      </c>
      <c r="V22" s="94">
        <f>'Basisdaten Rev'!S49/V1</f>
        <v>55.774253731343279</v>
      </c>
      <c r="W22" s="94">
        <f>'Basisdaten Rev'!T49/W1</f>
        <v>82.705223880597003</v>
      </c>
      <c r="X22" s="94">
        <f>'Basisdaten Rev'!U49/X1</f>
        <v>121.28731343283582</v>
      </c>
      <c r="Y22" s="94">
        <f>'Basisdaten Rev'!V49/Y1</f>
        <v>90.736940298507449</v>
      </c>
      <c r="Z22" s="94">
        <f>'Basisdaten Rev'!W49/Z1</f>
        <v>56.856343283582092</v>
      </c>
      <c r="AA22" s="94">
        <f>'Basisdaten Rev'!X49/AA1</f>
        <v>65.298507462686558</v>
      </c>
      <c r="AB22" s="94">
        <f>'Basisdaten Rev'!Y49/AB1</f>
        <v>22.854477611940297</v>
      </c>
      <c r="AC22" s="94">
        <f>'Basisdaten Rev'!Z49/AC1</f>
        <v>4.2630597014925371</v>
      </c>
      <c r="AD22" s="99">
        <f t="shared" si="9"/>
        <v>1244.7574626865669</v>
      </c>
      <c r="AE22" s="94">
        <f>'Basisdaten Rev'!AB49/AE1</f>
        <v>6.2220149253731343</v>
      </c>
      <c r="AF22" s="94">
        <f>'Basisdaten Rev'!AC49/AF1</f>
        <v>3.4608208955223878</v>
      </c>
      <c r="AG22" s="94">
        <f>'Basisdaten Rev'!AD49/AG1</f>
        <v>7.7891791044776113</v>
      </c>
      <c r="AH22" s="94">
        <f>'Basisdaten Rev'!AE49/AH1</f>
        <v>3.9365671641791038</v>
      </c>
      <c r="AI22" s="94">
        <f>'Basisdaten Rev'!AF49/AI1</f>
        <v>11.07276119402985</v>
      </c>
      <c r="AJ22" s="94">
        <f>'Basisdaten Rev'!AG49/AJ1</f>
        <v>14.104477611940297</v>
      </c>
      <c r="AK22" s="94">
        <f>'Basisdaten Rev'!AH49/AK1</f>
        <v>5.6996268656716413</v>
      </c>
      <c r="AL22" s="94">
        <f>'Basisdaten Rev'!AI49/AL1</f>
        <v>5.1585820895522385</v>
      </c>
      <c r="AM22" s="94">
        <f>'Basisdaten Rev'!AJ49/AM1</f>
        <v>0</v>
      </c>
      <c r="AN22" s="94">
        <f>'Basisdaten Rev'!AK49/AN1</f>
        <v>0</v>
      </c>
      <c r="AO22" s="94">
        <f>'Basisdaten Rev'!AL49/AO1</f>
        <v>0</v>
      </c>
      <c r="AP22" s="94">
        <f>'Basisdaten Rev'!AM49/AP1</f>
        <v>0</v>
      </c>
      <c r="AQ22" s="99">
        <f t="shared" si="10"/>
        <v>57.444029850746261</v>
      </c>
    </row>
    <row r="23" spans="1:43">
      <c r="A23" s="35"/>
      <c r="B23" s="67" t="s">
        <v>30</v>
      </c>
      <c r="C23" s="85" t="s">
        <v>108</v>
      </c>
      <c r="D23" s="86" t="s">
        <v>40</v>
      </c>
      <c r="E23" s="93">
        <f>'Basisdaten Rev'!B27</f>
        <v>237</v>
      </c>
      <c r="F23" s="93">
        <f>'Basisdaten Rev'!C27</f>
        <v>252</v>
      </c>
      <c r="G23" s="93">
        <f>'Basisdaten Rev'!D27</f>
        <v>164</v>
      </c>
      <c r="H23" s="93">
        <f>'Basisdaten Rev'!E27</f>
        <v>357</v>
      </c>
      <c r="I23" s="93">
        <f>'Basisdaten Rev'!F27</f>
        <v>358</v>
      </c>
      <c r="J23" s="93">
        <f>'Basisdaten Rev'!G27</f>
        <v>994</v>
      </c>
      <c r="K23" s="93">
        <f>'Basisdaten Rev'!H27</f>
        <v>1159</v>
      </c>
      <c r="L23" s="93">
        <f>'Basisdaten Rev'!I27</f>
        <v>691</v>
      </c>
      <c r="M23" s="93">
        <f>'Basisdaten Rev'!J27</f>
        <v>821</v>
      </c>
      <c r="N23" s="93">
        <f>'Basisdaten Rev'!K27</f>
        <v>900</v>
      </c>
      <c r="O23" s="93">
        <f>'Basisdaten Rev'!L27</f>
        <v>877</v>
      </c>
      <c r="P23" s="93">
        <f>'Basisdaten Rev'!M27</f>
        <v>1551</v>
      </c>
      <c r="Q23" s="98">
        <f t="shared" si="8"/>
        <v>8361</v>
      </c>
      <c r="R23" s="93">
        <f>'Basisdaten Rev'!O27</f>
        <v>115</v>
      </c>
      <c r="S23" s="93">
        <f>'Basisdaten Rev'!P27</f>
        <v>160</v>
      </c>
      <c r="T23" s="93">
        <f>'Basisdaten Rev'!Q27</f>
        <v>41</v>
      </c>
      <c r="U23" s="93">
        <f>'Basisdaten Rev'!R27</f>
        <v>30</v>
      </c>
      <c r="V23" s="93">
        <f>'Basisdaten Rev'!S27</f>
        <v>52</v>
      </c>
      <c r="W23" s="93">
        <f>'Basisdaten Rev'!T27</f>
        <v>19</v>
      </c>
      <c r="X23" s="93">
        <f>'Basisdaten Rev'!U27</f>
        <v>35</v>
      </c>
      <c r="Y23" s="93">
        <f>'Basisdaten Rev'!V27</f>
        <v>7</v>
      </c>
      <c r="Z23" s="93">
        <f>'Basisdaten Rev'!W27</f>
        <v>0</v>
      </c>
      <c r="AA23" s="93">
        <f>'Basisdaten Rev'!X27</f>
        <v>0</v>
      </c>
      <c r="AB23" s="93">
        <f>'Basisdaten Rev'!Y27</f>
        <v>0</v>
      </c>
      <c r="AC23" s="93">
        <f>'Basisdaten Rev'!Z27</f>
        <v>0</v>
      </c>
      <c r="AD23" s="98">
        <f t="shared" si="9"/>
        <v>459</v>
      </c>
      <c r="AE23" s="93">
        <f>'Basisdaten Rev'!AB27</f>
        <v>0</v>
      </c>
      <c r="AF23" s="93">
        <f>'Basisdaten Rev'!AC27</f>
        <v>0</v>
      </c>
      <c r="AG23" s="93">
        <f>'Basisdaten Rev'!AD27</f>
        <v>0</v>
      </c>
      <c r="AH23" s="93">
        <f>'Basisdaten Rev'!AE27</f>
        <v>0</v>
      </c>
      <c r="AI23" s="93">
        <f>'Basisdaten Rev'!AF27</f>
        <v>0</v>
      </c>
      <c r="AJ23" s="93">
        <f>'Basisdaten Rev'!AG27</f>
        <v>0</v>
      </c>
      <c r="AK23" s="93">
        <f>'Basisdaten Rev'!AH27</f>
        <v>0</v>
      </c>
      <c r="AL23" s="93">
        <f>'Basisdaten Rev'!AI27</f>
        <v>0</v>
      </c>
      <c r="AM23" s="93">
        <f>'Basisdaten Rev'!AJ27</f>
        <v>0</v>
      </c>
      <c r="AN23" s="93">
        <f>'Basisdaten Rev'!AK27</f>
        <v>0</v>
      </c>
      <c r="AO23" s="93">
        <f>'Basisdaten Rev'!AL27</f>
        <v>0</v>
      </c>
      <c r="AP23" s="93">
        <f>'Basisdaten Rev'!AM27</f>
        <v>0</v>
      </c>
      <c r="AQ23" s="98">
        <f t="shared" si="10"/>
        <v>0</v>
      </c>
    </row>
    <row r="24" spans="1:43">
      <c r="A24" s="35"/>
      <c r="B24" s="67" t="s">
        <v>30</v>
      </c>
      <c r="C24" s="85" t="s">
        <v>15</v>
      </c>
      <c r="D24" s="86" t="s">
        <v>40</v>
      </c>
      <c r="E24" s="93">
        <f>'Basisdaten Rev'!B28</f>
        <v>82</v>
      </c>
      <c r="F24" s="93">
        <f>'Basisdaten Rev'!C28</f>
        <v>89</v>
      </c>
      <c r="G24" s="93">
        <f>'Basisdaten Rev'!D28</f>
        <v>109</v>
      </c>
      <c r="H24" s="93">
        <f>'Basisdaten Rev'!E28</f>
        <v>114</v>
      </c>
      <c r="I24" s="93">
        <f>'Basisdaten Rev'!F28</f>
        <v>134</v>
      </c>
      <c r="J24" s="93">
        <f>'Basisdaten Rev'!G28</f>
        <v>216</v>
      </c>
      <c r="K24" s="93">
        <f>'Basisdaten Rev'!H28</f>
        <v>193</v>
      </c>
      <c r="L24" s="93">
        <f>'Basisdaten Rev'!I28</f>
        <v>272</v>
      </c>
      <c r="M24" s="93">
        <f>'Basisdaten Rev'!J28</f>
        <v>293</v>
      </c>
      <c r="N24" s="93">
        <f>'Basisdaten Rev'!K28</f>
        <v>401</v>
      </c>
      <c r="O24" s="93">
        <f>'Basisdaten Rev'!L28</f>
        <v>364</v>
      </c>
      <c r="P24" s="93">
        <f>'Basisdaten Rev'!M28</f>
        <v>338</v>
      </c>
      <c r="Q24" s="98">
        <f t="shared" si="8"/>
        <v>2605</v>
      </c>
      <c r="R24" s="93">
        <f>'Basisdaten Rev'!O28</f>
        <v>307</v>
      </c>
      <c r="S24" s="93">
        <f>'Basisdaten Rev'!P28</f>
        <v>389</v>
      </c>
      <c r="T24" s="93">
        <f>'Basisdaten Rev'!Q28</f>
        <v>538</v>
      </c>
      <c r="U24" s="93">
        <f>'Basisdaten Rev'!R28</f>
        <v>322</v>
      </c>
      <c r="V24" s="93">
        <f>'Basisdaten Rev'!S28</f>
        <v>378</v>
      </c>
      <c r="W24" s="93">
        <f>'Basisdaten Rev'!T28</f>
        <v>450</v>
      </c>
      <c r="X24" s="93">
        <f>'Basisdaten Rev'!U28</f>
        <v>348</v>
      </c>
      <c r="Y24" s="93">
        <f>'Basisdaten Rev'!V28</f>
        <v>92</v>
      </c>
      <c r="Z24" s="93">
        <f>'Basisdaten Rev'!W28</f>
        <v>0</v>
      </c>
      <c r="AA24" s="93">
        <f>'Basisdaten Rev'!X28</f>
        <v>0</v>
      </c>
      <c r="AB24" s="93">
        <f>'Basisdaten Rev'!Y28</f>
        <v>0</v>
      </c>
      <c r="AC24" s="93">
        <f>'Basisdaten Rev'!Z28</f>
        <v>0</v>
      </c>
      <c r="AD24" s="98">
        <f t="shared" si="9"/>
        <v>2824</v>
      </c>
      <c r="AE24" s="93">
        <f>'Basisdaten Rev'!AB28</f>
        <v>0</v>
      </c>
      <c r="AF24" s="93">
        <f>'Basisdaten Rev'!AC28</f>
        <v>0</v>
      </c>
      <c r="AG24" s="93">
        <f>'Basisdaten Rev'!AD28</f>
        <v>0</v>
      </c>
      <c r="AH24" s="93">
        <f>'Basisdaten Rev'!AE28</f>
        <v>0</v>
      </c>
      <c r="AI24" s="93">
        <f>'Basisdaten Rev'!AF28</f>
        <v>0</v>
      </c>
      <c r="AJ24" s="93">
        <f>'Basisdaten Rev'!AG28</f>
        <v>0</v>
      </c>
      <c r="AK24" s="93">
        <f>'Basisdaten Rev'!AH28</f>
        <v>0</v>
      </c>
      <c r="AL24" s="93">
        <f>'Basisdaten Rev'!AI28</f>
        <v>0</v>
      </c>
      <c r="AM24" s="93">
        <f>'Basisdaten Rev'!AJ28</f>
        <v>0</v>
      </c>
      <c r="AN24" s="93">
        <f>'Basisdaten Rev'!AK28</f>
        <v>0</v>
      </c>
      <c r="AO24" s="93">
        <f>'Basisdaten Rev'!AL28</f>
        <v>0</v>
      </c>
      <c r="AP24" s="93">
        <f>'Basisdaten Rev'!AM28</f>
        <v>0</v>
      </c>
      <c r="AQ24" s="98">
        <f t="shared" si="10"/>
        <v>0</v>
      </c>
    </row>
    <row r="25" spans="1:43">
      <c r="A25" s="35"/>
      <c r="B25" s="67" t="s">
        <v>30</v>
      </c>
      <c r="C25" s="85" t="s">
        <v>109</v>
      </c>
      <c r="D25" s="86" t="s">
        <v>40</v>
      </c>
      <c r="E25" s="93">
        <f>'Basisdaten Rev'!B29</f>
        <v>973</v>
      </c>
      <c r="F25" s="93">
        <f>'Basisdaten Rev'!C29</f>
        <v>795</v>
      </c>
      <c r="G25" s="93">
        <f>'Basisdaten Rev'!D29</f>
        <v>524</v>
      </c>
      <c r="H25" s="93">
        <f>'Basisdaten Rev'!E29</f>
        <v>748</v>
      </c>
      <c r="I25" s="93">
        <f>'Basisdaten Rev'!F29</f>
        <v>1217</v>
      </c>
      <c r="J25" s="93">
        <f>'Basisdaten Rev'!G29</f>
        <v>1205</v>
      </c>
      <c r="K25" s="93">
        <f>'Basisdaten Rev'!H29</f>
        <v>789</v>
      </c>
      <c r="L25" s="93">
        <f>'Basisdaten Rev'!I29</f>
        <v>404</v>
      </c>
      <c r="M25" s="93">
        <f>'Basisdaten Rev'!J29</f>
        <v>671</v>
      </c>
      <c r="N25" s="93">
        <f>'Basisdaten Rev'!K29</f>
        <v>1159</v>
      </c>
      <c r="O25" s="93">
        <f>'Basisdaten Rev'!L29</f>
        <v>831</v>
      </c>
      <c r="P25" s="93">
        <f>'Basisdaten Rev'!M29</f>
        <v>500</v>
      </c>
      <c r="Q25" s="98">
        <f t="shared" si="8"/>
        <v>9816</v>
      </c>
      <c r="R25" s="93">
        <f>'Basisdaten Rev'!O29</f>
        <v>133</v>
      </c>
      <c r="S25" s="93">
        <f>'Basisdaten Rev'!P29</f>
        <v>21</v>
      </c>
      <c r="T25" s="93">
        <f>'Basisdaten Rev'!Q29</f>
        <v>29</v>
      </c>
      <c r="U25" s="93">
        <f>'Basisdaten Rev'!R29</f>
        <v>30</v>
      </c>
      <c r="V25" s="93">
        <f>'Basisdaten Rev'!S29</f>
        <v>87</v>
      </c>
      <c r="W25" s="93">
        <f>'Basisdaten Rev'!T29</f>
        <v>43</v>
      </c>
      <c r="X25" s="93">
        <f>'Basisdaten Rev'!U29</f>
        <v>81</v>
      </c>
      <c r="Y25" s="93">
        <f>'Basisdaten Rev'!V29</f>
        <v>18</v>
      </c>
      <c r="Z25" s="93">
        <f>'Basisdaten Rev'!W29</f>
        <v>0</v>
      </c>
      <c r="AA25" s="93">
        <f>'Basisdaten Rev'!X29</f>
        <v>0</v>
      </c>
      <c r="AB25" s="93">
        <f>'Basisdaten Rev'!Y29</f>
        <v>0</v>
      </c>
      <c r="AC25" s="93">
        <f>'Basisdaten Rev'!Z29</f>
        <v>0</v>
      </c>
      <c r="AD25" s="98">
        <f t="shared" si="9"/>
        <v>442</v>
      </c>
      <c r="AE25" s="93">
        <f>'Basisdaten Rev'!AB29</f>
        <v>0</v>
      </c>
      <c r="AF25" s="93">
        <f>'Basisdaten Rev'!AC29</f>
        <v>0</v>
      </c>
      <c r="AG25" s="93">
        <f>'Basisdaten Rev'!AD29</f>
        <v>0</v>
      </c>
      <c r="AH25" s="93">
        <f>'Basisdaten Rev'!AE29</f>
        <v>0</v>
      </c>
      <c r="AI25" s="93">
        <f>'Basisdaten Rev'!AF29</f>
        <v>0</v>
      </c>
      <c r="AJ25" s="93">
        <f>'Basisdaten Rev'!AG29</f>
        <v>0</v>
      </c>
      <c r="AK25" s="93">
        <f>'Basisdaten Rev'!AH29</f>
        <v>0</v>
      </c>
      <c r="AL25" s="93">
        <f>'Basisdaten Rev'!AI29</f>
        <v>0</v>
      </c>
      <c r="AM25" s="93">
        <f>'Basisdaten Rev'!AJ29</f>
        <v>0</v>
      </c>
      <c r="AN25" s="93">
        <f>'Basisdaten Rev'!AK29</f>
        <v>0</v>
      </c>
      <c r="AO25" s="93">
        <f>'Basisdaten Rev'!AL29</f>
        <v>0</v>
      </c>
      <c r="AP25" s="93">
        <f>'Basisdaten Rev'!AM29</f>
        <v>0</v>
      </c>
      <c r="AQ25" s="98">
        <f t="shared" si="10"/>
        <v>0</v>
      </c>
    </row>
    <row r="26" spans="1:43">
      <c r="A26" s="35"/>
      <c r="B26" s="38" t="s">
        <v>3</v>
      </c>
      <c r="C26" s="58" t="s">
        <v>108</v>
      </c>
      <c r="D26" s="33" t="s">
        <v>39</v>
      </c>
      <c r="E26" s="94">
        <f>('Basisdaten Rev'!B6+'Basisdaten Rev'!B7)/E1</f>
        <v>1068.337517934003</v>
      </c>
      <c r="F26" s="94">
        <f>('Basisdaten Rev'!C6+'Basisdaten Rev'!C7)/F1</f>
        <v>904.31088453626683</v>
      </c>
      <c r="G26" s="94">
        <f>('Basisdaten Rev'!D6+'Basisdaten Rev'!D7)/G1</f>
        <v>1033.8648987636623</v>
      </c>
      <c r="H26" s="94">
        <f>('Basisdaten Rev'!E6+'Basisdaten Rev'!E7)/H1</f>
        <v>871.93450114242194</v>
      </c>
      <c r="I26" s="94">
        <f>('Basisdaten Rev'!F6+'Basisdaten Rev'!F7)/I1</f>
        <v>360.84091330981994</v>
      </c>
      <c r="J26" s="94">
        <f>('Basisdaten Rev'!G6+'Basisdaten Rev'!G7)/J1</f>
        <v>384.49575422192538</v>
      </c>
      <c r="K26" s="94">
        <f>('Basisdaten Rev'!H6+'Basisdaten Rev'!H7)/K1</f>
        <v>445.37164149833296</v>
      </c>
      <c r="L26" s="94">
        <f>('Basisdaten Rev'!I6+'Basisdaten Rev'!I7)/L1</f>
        <v>497.53233830845772</v>
      </c>
      <c r="M26" s="94">
        <f>('Basisdaten Rev'!J6+'Basisdaten Rev'!J7)/M1</f>
        <v>493.36734693877554</v>
      </c>
      <c r="N26" s="94">
        <f>('Basisdaten Rev'!K6+'Basisdaten Rev'!K7)/N1</f>
        <v>462.5506072874494</v>
      </c>
      <c r="O26" s="94">
        <f>('Basisdaten Rev'!L6+'Basisdaten Rev'!L7)/O1</f>
        <v>259.24111431316044</v>
      </c>
      <c r="P26" s="94">
        <f>('Basisdaten Rev'!M6+'Basisdaten Rev'!M7)/P1</f>
        <v>275.52238805970143</v>
      </c>
      <c r="Q26" s="99">
        <f t="shared" si="8"/>
        <v>7057.3699063139775</v>
      </c>
      <c r="R26" s="94">
        <f>('Basisdaten Rev'!O6+'Basisdaten Rev'!O7)/R1</f>
        <v>0</v>
      </c>
      <c r="S26" s="94">
        <f>('Basisdaten Rev'!P6+'Basisdaten Rev'!P7)/S1</f>
        <v>0</v>
      </c>
      <c r="T26" s="94">
        <f>('Basisdaten Rev'!Q6+'Basisdaten Rev'!Q7)/T1</f>
        <v>0</v>
      </c>
      <c r="U26" s="94">
        <f>('Basisdaten Rev'!R6+'Basisdaten Rev'!R7)/U1</f>
        <v>0</v>
      </c>
      <c r="V26" s="94">
        <f>('Basisdaten Rev'!S6+'Basisdaten Rev'!S7)/V1</f>
        <v>0</v>
      </c>
      <c r="W26" s="94">
        <f>('Basisdaten Rev'!T6+'Basisdaten Rev'!T7)/W1</f>
        <v>0</v>
      </c>
      <c r="X26" s="94">
        <f>('Basisdaten Rev'!U6+'Basisdaten Rev'!U7)/X1</f>
        <v>0</v>
      </c>
      <c r="Y26" s="94">
        <f>('Basisdaten Rev'!V6+'Basisdaten Rev'!V7)/Y1</f>
        <v>0</v>
      </c>
      <c r="Z26" s="94">
        <f>('Basisdaten Rev'!W6+'Basisdaten Rev'!W7)/Z1</f>
        <v>0</v>
      </c>
      <c r="AA26" s="94">
        <f>('Basisdaten Rev'!X6+'Basisdaten Rev'!X7)/AA1</f>
        <v>0</v>
      </c>
      <c r="AB26" s="94">
        <f>('Basisdaten Rev'!Y6+'Basisdaten Rev'!Y7)/AB1</f>
        <v>0</v>
      </c>
      <c r="AC26" s="94">
        <f>('Basisdaten Rev'!Z6+'Basisdaten Rev'!Z7)/AC1</f>
        <v>0</v>
      </c>
      <c r="AD26" s="99">
        <f t="shared" si="9"/>
        <v>0</v>
      </c>
      <c r="AE26" s="94">
        <f>('Basisdaten Rev'!AB6+'Basisdaten Rev'!AB7)/AE1</f>
        <v>0</v>
      </c>
      <c r="AF26" s="94">
        <f>('Basisdaten Rev'!AC6+'Basisdaten Rev'!AC7)/AF1</f>
        <v>0</v>
      </c>
      <c r="AG26" s="94">
        <f>('Basisdaten Rev'!AD6+'Basisdaten Rev'!AD7)/AG1</f>
        <v>0</v>
      </c>
      <c r="AH26" s="94">
        <f>('Basisdaten Rev'!AE6+'Basisdaten Rev'!AE7)/AH1</f>
        <v>0</v>
      </c>
      <c r="AI26" s="94">
        <f>('Basisdaten Rev'!AF6+'Basisdaten Rev'!AF7)/AI1</f>
        <v>0</v>
      </c>
      <c r="AJ26" s="94">
        <f>('Basisdaten Rev'!AG6+'Basisdaten Rev'!AG7)/AJ1</f>
        <v>0</v>
      </c>
      <c r="AK26" s="94">
        <f>('Basisdaten Rev'!AH6+'Basisdaten Rev'!AH7)/AK1</f>
        <v>0</v>
      </c>
      <c r="AL26" s="94">
        <f>('Basisdaten Rev'!AI6+'Basisdaten Rev'!AI7)/AL1</f>
        <v>0</v>
      </c>
      <c r="AM26" s="94">
        <f>('Basisdaten Rev'!AJ6+'Basisdaten Rev'!AJ7)/AM1</f>
        <v>0</v>
      </c>
      <c r="AN26" s="94">
        <f>('Basisdaten Rev'!AK6+'Basisdaten Rev'!AK7)/AN1</f>
        <v>0</v>
      </c>
      <c r="AO26" s="94">
        <f>('Basisdaten Rev'!AL6+'Basisdaten Rev'!AL7)/AO1</f>
        <v>0</v>
      </c>
      <c r="AP26" s="94">
        <f>('Basisdaten Rev'!AM6+'Basisdaten Rev'!AM7)/AP1</f>
        <v>0</v>
      </c>
      <c r="AQ26" s="99">
        <f t="shared" si="10"/>
        <v>0</v>
      </c>
    </row>
    <row r="27" spans="1:43">
      <c r="A27" s="35"/>
      <c r="B27" s="38" t="s">
        <v>3</v>
      </c>
      <c r="C27" s="58" t="s">
        <v>15</v>
      </c>
      <c r="D27" s="33" t="s">
        <v>39</v>
      </c>
      <c r="E27" s="94">
        <f>'Basisdaten Rev'!B8/E1</f>
        <v>34.890602582496413</v>
      </c>
      <c r="F27" s="94">
        <f>'Basisdaten Rev'!C8/F1</f>
        <v>22.565065736517305</v>
      </c>
      <c r="G27" s="94">
        <f>'Basisdaten Rev'!D8/G1</f>
        <v>0</v>
      </c>
      <c r="H27" s="94">
        <f>'Basisdaten Rev'!E8/H1</f>
        <v>0</v>
      </c>
      <c r="I27" s="94">
        <f>'Basisdaten Rev'!F8/I1</f>
        <v>49.192500464080197</v>
      </c>
      <c r="J27" s="94">
        <f>'Basisdaten Rev'!G8/J1</f>
        <v>74.420379734758129</v>
      </c>
      <c r="K27" s="94">
        <f>'Basisdaten Rev'!H8/K1</f>
        <v>549.12727985879587</v>
      </c>
      <c r="L27" s="94">
        <f>'Basisdaten Rev'!I8/L1</f>
        <v>685.57213930348269</v>
      </c>
      <c r="M27" s="94">
        <f>'Basisdaten Rev'!J8/M1</f>
        <v>1602.0408163265306</v>
      </c>
      <c r="N27" s="94">
        <f>'Basisdaten Rev'!K8/N1</f>
        <v>7236.8421052631584</v>
      </c>
      <c r="O27" s="94">
        <f>'Basisdaten Rev'!L8/O1</f>
        <v>10464.975984630164</v>
      </c>
      <c r="P27" s="94">
        <f>'Basisdaten Rev'!M8/P1</f>
        <v>5614.7201492537306</v>
      </c>
      <c r="Q27" s="99">
        <f t="shared" si="8"/>
        <v>26334.347023153714</v>
      </c>
      <c r="R27" s="94">
        <f>'Basisdaten Rev'!O8/R1</f>
        <v>0</v>
      </c>
      <c r="S27" s="94">
        <f>'Basisdaten Rev'!P8/S1</f>
        <v>0</v>
      </c>
      <c r="T27" s="94">
        <f>'Basisdaten Rev'!Q8/T1</f>
        <v>0</v>
      </c>
      <c r="U27" s="94">
        <f>'Basisdaten Rev'!R8/U1</f>
        <v>0</v>
      </c>
      <c r="V27" s="94">
        <f>'Basisdaten Rev'!S8/V1</f>
        <v>0</v>
      </c>
      <c r="W27" s="94">
        <f>'Basisdaten Rev'!T8/W1</f>
        <v>0</v>
      </c>
      <c r="X27" s="94">
        <f>'Basisdaten Rev'!U8/X1</f>
        <v>0</v>
      </c>
      <c r="Y27" s="94">
        <f>'Basisdaten Rev'!V8/Y1</f>
        <v>0</v>
      </c>
      <c r="Z27" s="94">
        <f>'Basisdaten Rev'!W8/Z1</f>
        <v>0</v>
      </c>
      <c r="AA27" s="94">
        <f>'Basisdaten Rev'!X8/AA1</f>
        <v>0</v>
      </c>
      <c r="AB27" s="94">
        <f>'Basisdaten Rev'!Y8/AB1</f>
        <v>0</v>
      </c>
      <c r="AC27" s="94">
        <f>'Basisdaten Rev'!Z8/AC1</f>
        <v>0</v>
      </c>
      <c r="AD27" s="99">
        <f t="shared" si="9"/>
        <v>0</v>
      </c>
      <c r="AE27" s="94">
        <f>'Basisdaten Rev'!AB8/AE1</f>
        <v>0</v>
      </c>
      <c r="AF27" s="94">
        <f>'Basisdaten Rev'!AC8/AF1</f>
        <v>0</v>
      </c>
      <c r="AG27" s="94">
        <f>'Basisdaten Rev'!AD8/AG1</f>
        <v>0</v>
      </c>
      <c r="AH27" s="94">
        <f>'Basisdaten Rev'!AE8/AH1</f>
        <v>0</v>
      </c>
      <c r="AI27" s="94">
        <f>'Basisdaten Rev'!AF8/AI1</f>
        <v>0</v>
      </c>
      <c r="AJ27" s="94">
        <f>'Basisdaten Rev'!AG8/AJ1</f>
        <v>0</v>
      </c>
      <c r="AK27" s="94">
        <f>'Basisdaten Rev'!AH8/AK1</f>
        <v>0</v>
      </c>
      <c r="AL27" s="94">
        <f>'Basisdaten Rev'!AI8/AL1</f>
        <v>0</v>
      </c>
      <c r="AM27" s="94">
        <f>'Basisdaten Rev'!AJ8/AM1</f>
        <v>0</v>
      </c>
      <c r="AN27" s="94">
        <f>'Basisdaten Rev'!AK8/AN1</f>
        <v>0</v>
      </c>
      <c r="AO27" s="94">
        <f>'Basisdaten Rev'!AL8/AO1</f>
        <v>0</v>
      </c>
      <c r="AP27" s="94">
        <f>'Basisdaten Rev'!AM8/AP1</f>
        <v>0</v>
      </c>
      <c r="AQ27" s="99">
        <f t="shared" si="10"/>
        <v>0</v>
      </c>
    </row>
    <row r="28" spans="1:43">
      <c r="A28" s="35"/>
      <c r="B28" s="38" t="s">
        <v>3</v>
      </c>
      <c r="C28" s="58" t="s">
        <v>109</v>
      </c>
      <c r="D28" s="33" t="s">
        <v>39</v>
      </c>
      <c r="E28" s="94">
        <f>'Basisdaten Rev'!B9/E1</f>
        <v>0</v>
      </c>
      <c r="F28" s="94">
        <f>'Basisdaten Rev'!C9/F1</f>
        <v>0</v>
      </c>
      <c r="G28" s="94">
        <f>'Basisdaten Rev'!D9/G1</f>
        <v>0</v>
      </c>
      <c r="H28" s="94">
        <f>'Basisdaten Rev'!E9/H1</f>
        <v>17.393373952779893</v>
      </c>
      <c r="I28" s="94">
        <f>'Basisdaten Rev'!F9/I1</f>
        <v>3.7126415444588829</v>
      </c>
      <c r="J28" s="94">
        <f>'Basisdaten Rev'!G9/J1</f>
        <v>2.8623222974906972</v>
      </c>
      <c r="K28" s="94">
        <f>'Basisdaten Rev'!H9/K1</f>
        <v>1.9611688566385566</v>
      </c>
      <c r="L28" s="94">
        <f>'Basisdaten Rev'!I9/L1</f>
        <v>15.920398009950251</v>
      </c>
      <c r="M28" s="94">
        <f>'Basisdaten Rev'!J9/M1</f>
        <v>10.204081632653061</v>
      </c>
      <c r="N28" s="94">
        <f>'Basisdaten Rev'!K9/N1</f>
        <v>18.218623481781378</v>
      </c>
      <c r="O28" s="94">
        <f>'Basisdaten Rev'!L9/O1</f>
        <v>120.69164265129685</v>
      </c>
      <c r="P28" s="94">
        <f>'Basisdaten Rev'!M9/P1</f>
        <v>22.649253731343283</v>
      </c>
      <c r="Q28" s="99">
        <f t="shared" si="8"/>
        <v>213.61350615839285</v>
      </c>
      <c r="R28" s="94">
        <f>'Basisdaten Rev'!O9/R1</f>
        <v>0</v>
      </c>
      <c r="S28" s="94">
        <f>'Basisdaten Rev'!P9/S1</f>
        <v>0</v>
      </c>
      <c r="T28" s="94">
        <f>'Basisdaten Rev'!Q9/T1</f>
        <v>0</v>
      </c>
      <c r="U28" s="94">
        <f>'Basisdaten Rev'!R9/U1</f>
        <v>0</v>
      </c>
      <c r="V28" s="94">
        <f>'Basisdaten Rev'!S9/V1</f>
        <v>0</v>
      </c>
      <c r="W28" s="94">
        <f>'Basisdaten Rev'!T9/W1</f>
        <v>0</v>
      </c>
      <c r="X28" s="94">
        <f>'Basisdaten Rev'!U9/X1</f>
        <v>0</v>
      </c>
      <c r="Y28" s="94">
        <f>'Basisdaten Rev'!V9/Y1</f>
        <v>0</v>
      </c>
      <c r="Z28" s="94">
        <f>'Basisdaten Rev'!W9/Z1</f>
        <v>0</v>
      </c>
      <c r="AA28" s="94">
        <f>'Basisdaten Rev'!X9/AA1</f>
        <v>0</v>
      </c>
      <c r="AB28" s="94">
        <f>'Basisdaten Rev'!Y9/AB1</f>
        <v>0</v>
      </c>
      <c r="AC28" s="94">
        <f>'Basisdaten Rev'!Z9/AC1</f>
        <v>0</v>
      </c>
      <c r="AD28" s="99">
        <f t="shared" si="9"/>
        <v>0</v>
      </c>
      <c r="AE28" s="94">
        <f>'Basisdaten Rev'!AB9/AE1</f>
        <v>0</v>
      </c>
      <c r="AF28" s="94">
        <f>'Basisdaten Rev'!AC9/AF1</f>
        <v>0</v>
      </c>
      <c r="AG28" s="94">
        <f>'Basisdaten Rev'!AD9/AG1</f>
        <v>0</v>
      </c>
      <c r="AH28" s="94">
        <f>'Basisdaten Rev'!AE9/AH1</f>
        <v>0</v>
      </c>
      <c r="AI28" s="94">
        <f>'Basisdaten Rev'!AF9/AI1</f>
        <v>0</v>
      </c>
      <c r="AJ28" s="94">
        <f>'Basisdaten Rev'!AG9/AJ1</f>
        <v>0</v>
      </c>
      <c r="AK28" s="94">
        <f>'Basisdaten Rev'!AH9/AK1</f>
        <v>0</v>
      </c>
      <c r="AL28" s="94">
        <f>'Basisdaten Rev'!AI9/AL1</f>
        <v>0</v>
      </c>
      <c r="AM28" s="94">
        <f>'Basisdaten Rev'!AJ9/AM1</f>
        <v>0</v>
      </c>
      <c r="AN28" s="94">
        <f>'Basisdaten Rev'!AK9/AN1</f>
        <v>0</v>
      </c>
      <c r="AO28" s="94">
        <f>'Basisdaten Rev'!AL9/AO1</f>
        <v>0</v>
      </c>
      <c r="AP28" s="94">
        <f>'Basisdaten Rev'!AM9/AP1</f>
        <v>0</v>
      </c>
      <c r="AQ28" s="99">
        <f t="shared" si="10"/>
        <v>0</v>
      </c>
    </row>
    <row r="29" spans="1:43">
      <c r="A29" s="35"/>
      <c r="B29" s="67" t="s">
        <v>1</v>
      </c>
      <c r="C29" s="65" t="s">
        <v>108</v>
      </c>
      <c r="D29" s="86" t="s">
        <v>40</v>
      </c>
      <c r="E29" s="93">
        <f>'Basisdaten Rev'!B17+'Basisdaten Rev'!B18</f>
        <v>1399.9999999999998</v>
      </c>
      <c r="F29" s="93">
        <f>'Basisdaten Rev'!C17+'Basisdaten Rev'!C18</f>
        <v>1418.018018018018</v>
      </c>
      <c r="G29" s="93">
        <f>'Basisdaten Rev'!D17+'Basisdaten Rev'!D18</f>
        <v>1699.090909090909</v>
      </c>
      <c r="H29" s="93">
        <f>'Basisdaten Rev'!E17+'Basisdaten Rev'!E18</f>
        <v>1766.0377358490566</v>
      </c>
      <c r="I29" s="93">
        <f>'Basisdaten Rev'!F17+'Basisdaten Rev'!F18</f>
        <v>2714.67</v>
      </c>
      <c r="J29" s="93">
        <f>'Basisdaten Rev'!G17+'Basisdaten Rev'!G18</f>
        <v>2460</v>
      </c>
      <c r="K29" s="93">
        <f>'Basisdaten Rev'!H17+'Basisdaten Rev'!H18</f>
        <v>2355.16</v>
      </c>
      <c r="L29" s="93">
        <f>'Basisdaten Rev'!I17+'Basisdaten Rev'!I18</f>
        <v>1791</v>
      </c>
      <c r="M29" s="93">
        <f>'Basisdaten Rev'!J17+'Basisdaten Rev'!J18</f>
        <v>1670</v>
      </c>
      <c r="N29" s="93">
        <f>'Basisdaten Rev'!K17+'Basisdaten Rev'!K18</f>
        <v>1251</v>
      </c>
      <c r="O29" s="93">
        <f>'Basisdaten Rev'!L17+'Basisdaten Rev'!L18</f>
        <v>1058.7</v>
      </c>
      <c r="P29" s="93">
        <f>'Basisdaten Rev'!M17+'Basisdaten Rev'!M18</f>
        <v>1429.9499999999998</v>
      </c>
      <c r="Q29" s="98">
        <f t="shared" si="8"/>
        <v>21013.626662957984</v>
      </c>
      <c r="R29" s="93">
        <f>'Basisdaten Rev'!O17+'Basisdaten Rev'!O18</f>
        <v>645.29999999999995</v>
      </c>
      <c r="S29" s="93">
        <f>'Basisdaten Rev'!P17+'Basisdaten Rev'!P18</f>
        <v>495.5</v>
      </c>
      <c r="T29" s="93">
        <f>'Basisdaten Rev'!Q17+'Basisdaten Rev'!Q18</f>
        <v>708.47</v>
      </c>
      <c r="U29" s="93">
        <f>'Basisdaten Rev'!R17+'Basisdaten Rev'!R18</f>
        <v>523.94999999999993</v>
      </c>
      <c r="V29" s="93">
        <f>'Basisdaten Rev'!S17+'Basisdaten Rev'!S18</f>
        <v>774.06</v>
      </c>
      <c r="W29" s="93">
        <f>'Basisdaten Rev'!T17+'Basisdaten Rev'!T18</f>
        <v>1199.23</v>
      </c>
      <c r="X29" s="93">
        <f>'Basisdaten Rev'!U17+'Basisdaten Rev'!U18</f>
        <v>771.06</v>
      </c>
      <c r="Y29" s="93">
        <f>'Basisdaten Rev'!V17+'Basisdaten Rev'!V18</f>
        <v>692.77</v>
      </c>
      <c r="Z29" s="93">
        <f>'Basisdaten Rev'!W17+'Basisdaten Rev'!W18</f>
        <v>712.93399999999997</v>
      </c>
      <c r="AA29" s="93">
        <f>'Basisdaten Rev'!X17+'Basisdaten Rev'!X18</f>
        <v>496.02</v>
      </c>
      <c r="AB29" s="93">
        <f>'Basisdaten Rev'!Y17+'Basisdaten Rev'!Y18</f>
        <v>543.24</v>
      </c>
      <c r="AC29" s="93">
        <f>'Basisdaten Rev'!Z17+'Basisdaten Rev'!Z18</f>
        <v>533.51</v>
      </c>
      <c r="AD29" s="98">
        <f t="shared" si="9"/>
        <v>8096.0439999999999</v>
      </c>
      <c r="AE29" s="93">
        <f>'Basisdaten Rev'!AB17+'Basisdaten Rev'!AB18</f>
        <v>260.14</v>
      </c>
      <c r="AF29" s="93">
        <f>'Basisdaten Rev'!AC17+'Basisdaten Rev'!AC18</f>
        <v>218.89999999999998</v>
      </c>
      <c r="AG29" s="93">
        <f>'Basisdaten Rev'!AD17+'Basisdaten Rev'!AD18</f>
        <v>285.34000000000003</v>
      </c>
      <c r="AH29" s="93">
        <f>'Basisdaten Rev'!AE17+'Basisdaten Rev'!AE18</f>
        <v>310.76</v>
      </c>
      <c r="AI29" s="93">
        <f>'Basisdaten Rev'!AF17+'Basisdaten Rev'!AF18</f>
        <v>426.41999999999996</v>
      </c>
      <c r="AJ29" s="93">
        <f>'Basisdaten Rev'!AG17+'Basisdaten Rev'!AG18</f>
        <v>774.87</v>
      </c>
      <c r="AK29" s="93">
        <f>'Basisdaten Rev'!AH17+'Basisdaten Rev'!AH18</f>
        <v>575.12</v>
      </c>
      <c r="AL29" s="93">
        <f>'Basisdaten Rev'!AI17+'Basisdaten Rev'!AI18</f>
        <v>1134.8699999999999</v>
      </c>
      <c r="AM29" s="93">
        <f>'Basisdaten Rev'!AJ17+'Basisdaten Rev'!AJ18</f>
        <v>0</v>
      </c>
      <c r="AN29" s="93">
        <f>'Basisdaten Rev'!AK17+'Basisdaten Rev'!AK18</f>
        <v>0</v>
      </c>
      <c r="AO29" s="93">
        <f>'Basisdaten Rev'!AL17+'Basisdaten Rev'!AL18</f>
        <v>0</v>
      </c>
      <c r="AP29" s="93">
        <f>'Basisdaten Rev'!AM17+'Basisdaten Rev'!AM18</f>
        <v>0</v>
      </c>
      <c r="AQ29" s="98">
        <f t="shared" si="10"/>
        <v>3986.4199999999996</v>
      </c>
    </row>
    <row r="30" spans="1:43">
      <c r="A30" s="35"/>
      <c r="B30" s="67" t="s">
        <v>1</v>
      </c>
      <c r="C30" s="65" t="s">
        <v>15</v>
      </c>
      <c r="D30" s="86" t="s">
        <v>40</v>
      </c>
      <c r="E30" s="93">
        <f>'Basisdaten Rev'!B19</f>
        <v>45.045045045045043</v>
      </c>
      <c r="F30" s="93">
        <f>'Basisdaten Rev'!C19</f>
        <v>9.0090090090090076</v>
      </c>
      <c r="G30" s="93">
        <f>'Basisdaten Rev'!D19</f>
        <v>14.545454545454545</v>
      </c>
      <c r="H30" s="93">
        <f>'Basisdaten Rev'!E19</f>
        <v>51.886792452830186</v>
      </c>
      <c r="I30" s="93">
        <f>'Basisdaten Rev'!F19</f>
        <v>32.550000000000004</v>
      </c>
      <c r="J30" s="93">
        <f>'Basisdaten Rev'!G19</f>
        <v>0</v>
      </c>
      <c r="K30" s="93">
        <f>'Basisdaten Rev'!H19</f>
        <v>8.73</v>
      </c>
      <c r="L30" s="93">
        <f>'Basisdaten Rev'!I19</f>
        <v>1</v>
      </c>
      <c r="M30" s="93">
        <f>'Basisdaten Rev'!J19</f>
        <v>5</v>
      </c>
      <c r="N30" s="93">
        <f>'Basisdaten Rev'!K19</f>
        <v>73</v>
      </c>
      <c r="O30" s="93">
        <f>'Basisdaten Rev'!L19</f>
        <v>37.369999999999997</v>
      </c>
      <c r="P30" s="93">
        <f>'Basisdaten Rev'!M19</f>
        <v>89.23</v>
      </c>
      <c r="Q30" s="98">
        <f t="shared" si="8"/>
        <v>367.36630105233877</v>
      </c>
      <c r="R30" s="93">
        <f>'Basisdaten Rev'!O19</f>
        <v>89.37</v>
      </c>
      <c r="S30" s="93">
        <f>'Basisdaten Rev'!P19</f>
        <v>28.35</v>
      </c>
      <c r="T30" s="93">
        <f>'Basisdaten Rev'!Q19</f>
        <v>28.3</v>
      </c>
      <c r="U30" s="93">
        <f>'Basisdaten Rev'!R19</f>
        <v>0.14000000000000001</v>
      </c>
      <c r="V30" s="93">
        <f>'Basisdaten Rev'!S19</f>
        <v>0.44</v>
      </c>
      <c r="W30" s="93">
        <f>'Basisdaten Rev'!T19</f>
        <v>0.43</v>
      </c>
      <c r="X30" s="93">
        <f>'Basisdaten Rev'!U19</f>
        <v>5.53</v>
      </c>
      <c r="Y30" s="93">
        <f>'Basisdaten Rev'!V19</f>
        <v>2.92</v>
      </c>
      <c r="Z30" s="93">
        <f>'Basisdaten Rev'!W19</f>
        <v>3.19</v>
      </c>
      <c r="AA30" s="93">
        <f>'Basisdaten Rev'!X19</f>
        <v>7.66</v>
      </c>
      <c r="AB30" s="93">
        <f>'Basisdaten Rev'!Y19</f>
        <v>21.64</v>
      </c>
      <c r="AC30" s="93">
        <f>'Basisdaten Rev'!Z19</f>
        <v>0.61</v>
      </c>
      <c r="AD30" s="98">
        <f t="shared" si="9"/>
        <v>188.57999999999998</v>
      </c>
      <c r="AE30" s="93">
        <f>'Basisdaten Rev'!AB19</f>
        <v>0.6</v>
      </c>
      <c r="AF30" s="93">
        <f>'Basisdaten Rev'!AC19</f>
        <v>0.82</v>
      </c>
      <c r="AG30" s="93">
        <f>'Basisdaten Rev'!AD19</f>
        <v>0.33</v>
      </c>
      <c r="AH30" s="93">
        <f>'Basisdaten Rev'!AE19</f>
        <v>0.3</v>
      </c>
      <c r="AI30" s="93">
        <f>'Basisdaten Rev'!AF19</f>
        <v>3.72</v>
      </c>
      <c r="AJ30" s="93">
        <f>'Basisdaten Rev'!AG19</f>
        <v>4.8099999999999996</v>
      </c>
      <c r="AK30" s="93">
        <f>'Basisdaten Rev'!AH19</f>
        <v>2.5299999999999998</v>
      </c>
      <c r="AL30" s="93">
        <f>'Basisdaten Rev'!AI19</f>
        <v>0.83</v>
      </c>
      <c r="AM30" s="93">
        <f>'Basisdaten Rev'!AJ19</f>
        <v>0</v>
      </c>
      <c r="AN30" s="93">
        <f>'Basisdaten Rev'!AK19</f>
        <v>0</v>
      </c>
      <c r="AO30" s="93">
        <f>'Basisdaten Rev'!AL19</f>
        <v>0</v>
      </c>
      <c r="AP30" s="93">
        <f>'Basisdaten Rev'!AM19</f>
        <v>0</v>
      </c>
      <c r="AQ30" s="98">
        <f t="shared" si="10"/>
        <v>13.939999999999998</v>
      </c>
    </row>
    <row r="31" spans="1:43">
      <c r="A31" s="35"/>
      <c r="B31" s="67" t="s">
        <v>1</v>
      </c>
      <c r="C31" s="65" t="s">
        <v>109</v>
      </c>
      <c r="D31" s="86" t="s">
        <v>40</v>
      </c>
      <c r="E31" s="93">
        <f>'Basisdaten Rev'!B20</f>
        <v>100.90090090090089</v>
      </c>
      <c r="F31" s="93">
        <f>'Basisdaten Rev'!C20</f>
        <v>203.60360360360357</v>
      </c>
      <c r="G31" s="93">
        <f>'Basisdaten Rev'!D20</f>
        <v>237.27272727272725</v>
      </c>
      <c r="H31" s="93">
        <f>'Basisdaten Rev'!E20</f>
        <v>328.30188679245282</v>
      </c>
      <c r="I31" s="93">
        <f>'Basisdaten Rev'!F20</f>
        <v>359.91</v>
      </c>
      <c r="J31" s="93">
        <f>'Basisdaten Rev'!G20</f>
        <v>460</v>
      </c>
      <c r="K31" s="93">
        <f>'Basisdaten Rev'!H20</f>
        <v>135.79999999999998</v>
      </c>
      <c r="L31" s="93">
        <f>'Basisdaten Rev'!I20</f>
        <v>157</v>
      </c>
      <c r="M31" s="93">
        <f>'Basisdaten Rev'!J20</f>
        <v>157</v>
      </c>
      <c r="N31" s="93">
        <f>'Basisdaten Rev'!K20</f>
        <v>107</v>
      </c>
      <c r="O31" s="93">
        <f>'Basisdaten Rev'!L20</f>
        <v>113.89</v>
      </c>
      <c r="P31" s="93">
        <f>'Basisdaten Rev'!M20</f>
        <v>77.5</v>
      </c>
      <c r="Q31" s="98">
        <f t="shared" si="8"/>
        <v>2438.1791185696843</v>
      </c>
      <c r="R31" s="93">
        <f>'Basisdaten Rev'!O20</f>
        <v>62.43</v>
      </c>
      <c r="S31" s="93">
        <f>'Basisdaten Rev'!P20</f>
        <v>56.92</v>
      </c>
      <c r="T31" s="93">
        <f>'Basisdaten Rev'!Q20</f>
        <v>33.01</v>
      </c>
      <c r="U31" s="93">
        <f>'Basisdaten Rev'!R20</f>
        <v>8.4499999999999993</v>
      </c>
      <c r="V31" s="93">
        <f>'Basisdaten Rev'!S20</f>
        <v>14.91</v>
      </c>
      <c r="W31" s="93">
        <f>'Basisdaten Rev'!T20</f>
        <v>10.32</v>
      </c>
      <c r="X31" s="93">
        <f>'Basisdaten Rev'!U20</f>
        <v>3.09</v>
      </c>
      <c r="Y31" s="93">
        <f>'Basisdaten Rev'!V20</f>
        <v>18.73</v>
      </c>
      <c r="Z31" s="93">
        <f>'Basisdaten Rev'!W20</f>
        <v>19.96</v>
      </c>
      <c r="AA31" s="93">
        <f>'Basisdaten Rev'!X20</f>
        <v>22.65</v>
      </c>
      <c r="AB31" s="93">
        <f>'Basisdaten Rev'!Y20</f>
        <v>33.79</v>
      </c>
      <c r="AC31" s="93">
        <f>'Basisdaten Rev'!Z20</f>
        <v>24.26</v>
      </c>
      <c r="AD31" s="98">
        <f t="shared" si="9"/>
        <v>308.52</v>
      </c>
      <c r="AE31" s="93">
        <f>'Basisdaten Rev'!AB20</f>
        <v>29.47</v>
      </c>
      <c r="AF31" s="93">
        <f>'Basisdaten Rev'!AC20</f>
        <v>39.96</v>
      </c>
      <c r="AG31" s="93">
        <f>'Basisdaten Rev'!AD20</f>
        <v>32.33</v>
      </c>
      <c r="AH31" s="93">
        <f>'Basisdaten Rev'!AE20</f>
        <v>16.04</v>
      </c>
      <c r="AI31" s="93">
        <f>'Basisdaten Rev'!AF20</f>
        <v>44</v>
      </c>
      <c r="AJ31" s="93">
        <f>'Basisdaten Rev'!AG20</f>
        <v>85.33</v>
      </c>
      <c r="AK31" s="93">
        <f>'Basisdaten Rev'!AH20</f>
        <v>20.78</v>
      </c>
      <c r="AL31" s="93">
        <f>'Basisdaten Rev'!AI20</f>
        <v>19.02</v>
      </c>
      <c r="AM31" s="93">
        <f>'Basisdaten Rev'!AJ20</f>
        <v>0</v>
      </c>
      <c r="AN31" s="93">
        <f>'Basisdaten Rev'!AK20</f>
        <v>0</v>
      </c>
      <c r="AO31" s="93">
        <f>'Basisdaten Rev'!AL20</f>
        <v>0</v>
      </c>
      <c r="AP31" s="93">
        <f>'Basisdaten Rev'!AM20</f>
        <v>0</v>
      </c>
      <c r="AQ31" s="98">
        <f t="shared" si="10"/>
        <v>286.92999999999995</v>
      </c>
    </row>
    <row r="32" spans="1:43">
      <c r="A32" s="35"/>
      <c r="B32" s="37" t="s">
        <v>45</v>
      </c>
      <c r="C32" s="58" t="s">
        <v>108</v>
      </c>
      <c r="D32" s="33" t="s">
        <v>40</v>
      </c>
      <c r="E32" s="94">
        <f>'Basisdaten Rev'!B12+'Basisdaten Rev'!B13</f>
        <v>0</v>
      </c>
      <c r="F32" s="94">
        <f>'Basisdaten Rev'!C12+'Basisdaten Rev'!C13</f>
        <v>0</v>
      </c>
      <c r="G32" s="94">
        <f>'Basisdaten Rev'!D12+'Basisdaten Rev'!D13</f>
        <v>0</v>
      </c>
      <c r="H32" s="94">
        <f>'Basisdaten Rev'!E12+'Basisdaten Rev'!E13</f>
        <v>0</v>
      </c>
      <c r="I32" s="94">
        <f>'Basisdaten Rev'!F12+'Basisdaten Rev'!F13</f>
        <v>0</v>
      </c>
      <c r="J32" s="94">
        <f>'Basisdaten Rev'!G12+'Basisdaten Rev'!G13</f>
        <v>638.11999999999989</v>
      </c>
      <c r="K32" s="94">
        <f>'Basisdaten Rev'!H12+'Basisdaten Rev'!H13</f>
        <v>1530</v>
      </c>
      <c r="L32" s="94">
        <f>'Basisdaten Rev'!I12+'Basisdaten Rev'!I13</f>
        <v>3021.4199999999996</v>
      </c>
      <c r="M32" s="94">
        <f>'Basisdaten Rev'!J12+'Basisdaten Rev'!J13</f>
        <v>4092.79</v>
      </c>
      <c r="N32" s="94">
        <f>'Basisdaten Rev'!K12+'Basisdaten Rev'!K13</f>
        <v>3002.06</v>
      </c>
      <c r="O32" s="94">
        <f>'Basisdaten Rev'!L12+'Basisdaten Rev'!L13</f>
        <v>1646.6699999999998</v>
      </c>
      <c r="P32" s="94">
        <f>'Basisdaten Rev'!M12+'Basisdaten Rev'!M13</f>
        <v>1207.0700000000002</v>
      </c>
      <c r="Q32" s="99">
        <f t="shared" si="8"/>
        <v>15138.129999999997</v>
      </c>
      <c r="R32" s="94">
        <f>'Basisdaten Rev'!O12+'Basisdaten Rev'!O13</f>
        <v>2109.04</v>
      </c>
      <c r="S32" s="94">
        <f>'Basisdaten Rev'!P12+'Basisdaten Rev'!P13</f>
        <v>1494.5700000000002</v>
      </c>
      <c r="T32" s="94">
        <f>'Basisdaten Rev'!Q12+'Basisdaten Rev'!Q13</f>
        <v>1299.04</v>
      </c>
      <c r="U32" s="94">
        <f>'Basisdaten Rev'!R12+'Basisdaten Rev'!R13</f>
        <v>785.20999999999992</v>
      </c>
      <c r="V32" s="94">
        <f>'Basisdaten Rev'!S12+'Basisdaten Rev'!S13</f>
        <v>1186.02</v>
      </c>
      <c r="W32" s="94">
        <f>'Basisdaten Rev'!T12+'Basisdaten Rev'!T13</f>
        <v>974.04</v>
      </c>
      <c r="X32" s="94">
        <f>'Basisdaten Rev'!U12+'Basisdaten Rev'!U13</f>
        <v>377.71999999999997</v>
      </c>
      <c r="Y32" s="94">
        <f>'Basisdaten Rev'!V12+'Basisdaten Rev'!V13</f>
        <v>586.79</v>
      </c>
      <c r="Z32" s="94">
        <f>'Basisdaten Rev'!W12+'Basisdaten Rev'!W13</f>
        <v>74.47999999999999</v>
      </c>
      <c r="AA32" s="94">
        <f>'Basisdaten Rev'!X12+'Basisdaten Rev'!X13</f>
        <v>41.22</v>
      </c>
      <c r="AB32" s="94">
        <f>'Basisdaten Rev'!Y12+'Basisdaten Rev'!Y13</f>
        <v>95.18</v>
      </c>
      <c r="AC32" s="94">
        <f>'Basisdaten Rev'!Z12+'Basisdaten Rev'!Z13</f>
        <v>87.91</v>
      </c>
      <c r="AD32" s="99">
        <f t="shared" si="9"/>
        <v>9111.2199999999993</v>
      </c>
      <c r="AE32" s="94">
        <f>'Basisdaten Rev'!AB12+'Basisdaten Rev'!AB13</f>
        <v>60.569999999999993</v>
      </c>
      <c r="AF32" s="94">
        <f>'Basisdaten Rev'!AC12+'Basisdaten Rev'!AC13</f>
        <v>20.69</v>
      </c>
      <c r="AG32" s="94">
        <f>'Basisdaten Rev'!AD12+'Basisdaten Rev'!AD13</f>
        <v>20.5</v>
      </c>
      <c r="AH32" s="94">
        <f>'Basisdaten Rev'!AE12+'Basisdaten Rev'!AE13</f>
        <v>14.94</v>
      </c>
      <c r="AI32" s="94">
        <f>'Basisdaten Rev'!AF12+'Basisdaten Rev'!AF13</f>
        <v>41.57</v>
      </c>
      <c r="AJ32" s="94">
        <f>'Basisdaten Rev'!AG12+'Basisdaten Rev'!AG13</f>
        <v>27.03</v>
      </c>
      <c r="AK32" s="94">
        <f>'Basisdaten Rev'!AH12+'Basisdaten Rev'!AH13</f>
        <v>18.220000000000002</v>
      </c>
      <c r="AL32" s="94">
        <f>'Basisdaten Rev'!AI12+'Basisdaten Rev'!AI13</f>
        <v>15.9</v>
      </c>
      <c r="AM32" s="94">
        <f>'Basisdaten Rev'!AJ12+'Basisdaten Rev'!AJ13</f>
        <v>0</v>
      </c>
      <c r="AN32" s="94">
        <f>'Basisdaten Rev'!AK12+'Basisdaten Rev'!AK13</f>
        <v>0</v>
      </c>
      <c r="AO32" s="94">
        <f>'Basisdaten Rev'!AL12+'Basisdaten Rev'!AL13</f>
        <v>0</v>
      </c>
      <c r="AP32" s="94">
        <f>'Basisdaten Rev'!AM12+'Basisdaten Rev'!AM13</f>
        <v>0</v>
      </c>
      <c r="AQ32" s="99">
        <f t="shared" si="10"/>
        <v>219.42</v>
      </c>
    </row>
    <row r="33" spans="1:43">
      <c r="A33" s="35"/>
      <c r="B33" s="37" t="s">
        <v>45</v>
      </c>
      <c r="C33" s="58" t="s">
        <v>15</v>
      </c>
      <c r="D33" s="33" t="s">
        <v>40</v>
      </c>
      <c r="E33" s="94">
        <f>'Basisdaten Rev'!B14</f>
        <v>0</v>
      </c>
      <c r="F33" s="94">
        <f>'Basisdaten Rev'!C14</f>
        <v>0</v>
      </c>
      <c r="G33" s="94">
        <f>'Basisdaten Rev'!D14</f>
        <v>0</v>
      </c>
      <c r="H33" s="94">
        <f>'Basisdaten Rev'!E14</f>
        <v>0</v>
      </c>
      <c r="I33" s="94">
        <f>'Basisdaten Rev'!F14</f>
        <v>0</v>
      </c>
      <c r="J33" s="94">
        <f>'Basisdaten Rev'!G14</f>
        <v>199.99</v>
      </c>
      <c r="K33" s="94">
        <f>'Basisdaten Rev'!H14</f>
        <v>1631</v>
      </c>
      <c r="L33" s="94">
        <f>'Basisdaten Rev'!I14</f>
        <v>1631.65</v>
      </c>
      <c r="M33" s="94">
        <f>'Basisdaten Rev'!J14</f>
        <v>6107.4</v>
      </c>
      <c r="N33" s="94">
        <f>'Basisdaten Rev'!K14</f>
        <v>3090.09</v>
      </c>
      <c r="O33" s="94">
        <f>'Basisdaten Rev'!L14</f>
        <v>3681.15</v>
      </c>
      <c r="P33" s="94">
        <f>'Basisdaten Rev'!M14</f>
        <v>4814.8500000000004</v>
      </c>
      <c r="Q33" s="99">
        <f t="shared" si="8"/>
        <v>21156.13</v>
      </c>
      <c r="R33" s="94">
        <f>'Basisdaten Rev'!O14</f>
        <v>1608.35</v>
      </c>
      <c r="S33" s="94">
        <f>'Basisdaten Rev'!P14</f>
        <v>1067.0899999999999</v>
      </c>
      <c r="T33" s="94">
        <f>'Basisdaten Rev'!Q14</f>
        <v>1466.73</v>
      </c>
      <c r="U33" s="94">
        <f>'Basisdaten Rev'!R14</f>
        <v>679.71</v>
      </c>
      <c r="V33" s="94">
        <f>'Basisdaten Rev'!S14</f>
        <v>820.76</v>
      </c>
      <c r="W33" s="94">
        <f>'Basisdaten Rev'!T14</f>
        <v>2062.23</v>
      </c>
      <c r="X33" s="94">
        <f>'Basisdaten Rev'!U14</f>
        <v>2168.7199999999998</v>
      </c>
      <c r="Y33" s="94">
        <f>'Basisdaten Rev'!V14</f>
        <v>1881.65</v>
      </c>
      <c r="Z33" s="94">
        <f>'Basisdaten Rev'!W14</f>
        <v>884.21</v>
      </c>
      <c r="AA33" s="94">
        <f>'Basisdaten Rev'!X14</f>
        <v>1282.42</v>
      </c>
      <c r="AB33" s="94">
        <f>'Basisdaten Rev'!Y14</f>
        <v>106.18</v>
      </c>
      <c r="AC33" s="94">
        <f>'Basisdaten Rev'!Z14</f>
        <v>118.56</v>
      </c>
      <c r="AD33" s="99">
        <f t="shared" si="9"/>
        <v>14146.61</v>
      </c>
      <c r="AE33" s="94">
        <f>'Basisdaten Rev'!AB14</f>
        <v>119.52</v>
      </c>
      <c r="AF33" s="94">
        <f>'Basisdaten Rev'!AC14</f>
        <v>46.5</v>
      </c>
      <c r="AG33" s="94">
        <f>'Basisdaten Rev'!AD14</f>
        <v>9.17</v>
      </c>
      <c r="AH33" s="94">
        <f>'Basisdaten Rev'!AE14</f>
        <v>8.1999999999999993</v>
      </c>
      <c r="AI33" s="94">
        <f>'Basisdaten Rev'!AF14</f>
        <v>10.66</v>
      </c>
      <c r="AJ33" s="94">
        <f>'Basisdaten Rev'!AG14</f>
        <v>8.7100000000000009</v>
      </c>
      <c r="AK33" s="94">
        <f>'Basisdaten Rev'!AH14</f>
        <v>4.8499999999999996</v>
      </c>
      <c r="AL33" s="94">
        <f>'Basisdaten Rev'!AI14</f>
        <v>5.03</v>
      </c>
      <c r="AM33" s="94">
        <f>'Basisdaten Rev'!AJ14</f>
        <v>0</v>
      </c>
      <c r="AN33" s="94">
        <f>'Basisdaten Rev'!AK14</f>
        <v>0</v>
      </c>
      <c r="AO33" s="94">
        <f>'Basisdaten Rev'!AL14</f>
        <v>0</v>
      </c>
      <c r="AP33" s="94">
        <f>'Basisdaten Rev'!AM14</f>
        <v>0</v>
      </c>
      <c r="AQ33" s="99">
        <f t="shared" si="10"/>
        <v>212.63999999999996</v>
      </c>
    </row>
    <row r="34" spans="1:43">
      <c r="A34" s="35"/>
      <c r="B34" s="37" t="s">
        <v>45</v>
      </c>
      <c r="C34" s="58" t="s">
        <v>109</v>
      </c>
      <c r="D34" s="33" t="s">
        <v>40</v>
      </c>
      <c r="E34" s="94">
        <f>'Basisdaten Rev'!B15</f>
        <v>0</v>
      </c>
      <c r="F34" s="94">
        <f>'Basisdaten Rev'!C15</f>
        <v>0</v>
      </c>
      <c r="G34" s="94">
        <f>'Basisdaten Rev'!D15</f>
        <v>0</v>
      </c>
      <c r="H34" s="94">
        <f>'Basisdaten Rev'!E15</f>
        <v>0</v>
      </c>
      <c r="I34" s="94">
        <f>'Basisdaten Rev'!F15</f>
        <v>0</v>
      </c>
      <c r="J34" s="94">
        <f>'Basisdaten Rev'!G15</f>
        <v>94.86</v>
      </c>
      <c r="K34" s="94">
        <f>'Basisdaten Rev'!H15</f>
        <v>195</v>
      </c>
      <c r="L34" s="94">
        <f>'Basisdaten Rev'!I15</f>
        <v>98.93</v>
      </c>
      <c r="M34" s="94">
        <f>'Basisdaten Rev'!J15</f>
        <v>219.57</v>
      </c>
      <c r="N34" s="94">
        <f>'Basisdaten Rev'!K15</f>
        <v>210</v>
      </c>
      <c r="O34" s="94">
        <f>'Basisdaten Rev'!L15</f>
        <v>230.06</v>
      </c>
      <c r="P34" s="94">
        <f>'Basisdaten Rev'!M15</f>
        <v>367.79</v>
      </c>
      <c r="Q34" s="99">
        <f t="shared" si="8"/>
        <v>1416.21</v>
      </c>
      <c r="R34" s="94">
        <f>'Basisdaten Rev'!O15</f>
        <v>131.33000000000001</v>
      </c>
      <c r="S34" s="94">
        <f>'Basisdaten Rev'!P15</f>
        <v>74.09</v>
      </c>
      <c r="T34" s="94">
        <f>'Basisdaten Rev'!Q15</f>
        <v>90.37</v>
      </c>
      <c r="U34" s="94">
        <f>'Basisdaten Rev'!R15</f>
        <v>38.44</v>
      </c>
      <c r="V34" s="94">
        <f>'Basisdaten Rev'!S15</f>
        <v>53.59</v>
      </c>
      <c r="W34" s="94">
        <f>'Basisdaten Rev'!T15</f>
        <v>117.52</v>
      </c>
      <c r="X34" s="94">
        <f>'Basisdaten Rev'!U15</f>
        <v>120.91</v>
      </c>
      <c r="Y34" s="94">
        <f>'Basisdaten Rev'!V15</f>
        <v>237.29</v>
      </c>
      <c r="Z34" s="94">
        <f>'Basisdaten Rev'!W15</f>
        <v>71.78</v>
      </c>
      <c r="AA34" s="94">
        <f>'Basisdaten Rev'!X15</f>
        <v>45.59</v>
      </c>
      <c r="AB34" s="94">
        <f>'Basisdaten Rev'!Y15</f>
        <v>74.12</v>
      </c>
      <c r="AC34" s="94">
        <f>'Basisdaten Rev'!Z15</f>
        <v>41.13</v>
      </c>
      <c r="AD34" s="99">
        <f t="shared" si="9"/>
        <v>1096.1600000000001</v>
      </c>
      <c r="AE34" s="94">
        <f>'Basisdaten Rev'!AB15</f>
        <v>0.77</v>
      </c>
      <c r="AF34" s="94">
        <f>'Basisdaten Rev'!AC15</f>
        <v>0</v>
      </c>
      <c r="AG34" s="94">
        <f>'Basisdaten Rev'!AD15</f>
        <v>0.65</v>
      </c>
      <c r="AH34" s="94">
        <f>'Basisdaten Rev'!AE15</f>
        <v>0.7</v>
      </c>
      <c r="AI34" s="94">
        <f>'Basisdaten Rev'!AF15</f>
        <v>1.04</v>
      </c>
      <c r="AJ34" s="94">
        <f>'Basisdaten Rev'!AG15</f>
        <v>0.84</v>
      </c>
      <c r="AK34" s="94">
        <f>'Basisdaten Rev'!AH15</f>
        <v>0.59</v>
      </c>
      <c r="AL34" s="94">
        <f>'Basisdaten Rev'!AI15</f>
        <v>0.52</v>
      </c>
      <c r="AM34" s="94">
        <f>'Basisdaten Rev'!AJ15</f>
        <v>0</v>
      </c>
      <c r="AN34" s="94">
        <f>'Basisdaten Rev'!AK15</f>
        <v>0</v>
      </c>
      <c r="AO34" s="94">
        <f>'Basisdaten Rev'!AL15</f>
        <v>0</v>
      </c>
      <c r="AP34" s="94">
        <f>'Basisdaten Rev'!AM15</f>
        <v>0</v>
      </c>
      <c r="AQ34" s="99">
        <f t="shared" si="10"/>
        <v>5.1099999999999994</v>
      </c>
    </row>
    <row r="35" spans="1:43">
      <c r="A35" s="35"/>
      <c r="B35" s="67" t="s">
        <v>111</v>
      </c>
      <c r="C35" s="65" t="s">
        <v>108</v>
      </c>
      <c r="D35" s="86" t="s">
        <v>39</v>
      </c>
      <c r="E35" s="93">
        <f>('Basisdaten Rev'!B31+'Basisdaten Rev'!B32+'Basisdaten Rev'!B33)/E1</f>
        <v>0</v>
      </c>
      <c r="F35" s="93">
        <f>('Basisdaten Rev'!C31+'Basisdaten Rev'!C32+'Basisdaten Rev'!C33)/F1</f>
        <v>0</v>
      </c>
      <c r="G35" s="93">
        <f>('Basisdaten Rev'!D31+'Basisdaten Rev'!D32+'Basisdaten Rev'!D33)/G1</f>
        <v>0</v>
      </c>
      <c r="H35" s="93">
        <f>('Basisdaten Rev'!E31+'Basisdaten Rev'!E32+'Basisdaten Rev'!E33)/H1</f>
        <v>0</v>
      </c>
      <c r="I35" s="93">
        <f>('Basisdaten Rev'!F31+'Basisdaten Rev'!F32+'Basisdaten Rev'!F33)/I1</f>
        <v>0</v>
      </c>
      <c r="J35" s="93">
        <f>('Basisdaten Rev'!G31+'Basisdaten Rev'!G32+'Basisdaten Rev'!G33)/J1</f>
        <v>0</v>
      </c>
      <c r="K35" s="93">
        <f>('Basisdaten Rev'!H31+'Basisdaten Rev'!H32+'Basisdaten Rev'!H33)/K1</f>
        <v>2698.1663071190424</v>
      </c>
      <c r="L35" s="93">
        <f>('Basisdaten Rev'!I31+'Basisdaten Rev'!I32+'Basisdaten Rev'!I33)/L1</f>
        <v>3321.5721393034828</v>
      </c>
      <c r="M35" s="93">
        <f>('Basisdaten Rev'!J31+'Basisdaten Rev'!J32+'Basisdaten Rev'!J33)/M1</f>
        <v>2647.0204081632651</v>
      </c>
      <c r="N35" s="93">
        <f>('Basisdaten Rev'!K31+'Basisdaten Rev'!K32+'Basisdaten Rev'!K33)/N1</f>
        <v>5537.3279352226718</v>
      </c>
      <c r="O35" s="93">
        <f>('Basisdaten Rev'!L31+'Basisdaten Rev'!L32+'Basisdaten Rev'!L33)/O1</f>
        <v>5964.236311239194</v>
      </c>
      <c r="P35" s="93">
        <f>('Basisdaten Rev'!M31+'Basisdaten Rev'!M32+'Basisdaten Rev'!M33)/P1</f>
        <v>5985.6716417910447</v>
      </c>
      <c r="Q35" s="98">
        <f t="shared" si="8"/>
        <v>26153.994742838702</v>
      </c>
      <c r="R35" s="93">
        <f>('Basisdaten Rev'!O31+'Basisdaten Rev'!O32+'Basisdaten Rev'!O33)/R1</f>
        <v>1384.0111940298507</v>
      </c>
      <c r="S35" s="93">
        <f>('Basisdaten Rev'!P31+'Basisdaten Rev'!P32+'Basisdaten Rev'!P33)/S1</f>
        <v>792.19216417910445</v>
      </c>
      <c r="T35" s="93">
        <f>('Basisdaten Rev'!Q31+'Basisdaten Rev'!Q32+'Basisdaten Rev'!Q33)/T1</f>
        <v>993.49813432835811</v>
      </c>
      <c r="U35" s="93">
        <f>('Basisdaten Rev'!R31+'Basisdaten Rev'!R32+'Basisdaten Rev'!R33)/U1</f>
        <v>795.26119402985069</v>
      </c>
      <c r="V35" s="93">
        <f>('Basisdaten Rev'!S31+'Basisdaten Rev'!S32+'Basisdaten Rev'!S33)/V1</f>
        <v>2546.7257462686566</v>
      </c>
      <c r="W35" s="93">
        <f>('Basisdaten Rev'!T31+'Basisdaten Rev'!T32+'Basisdaten Rev'!T33)/W1</f>
        <v>2061.7817164179105</v>
      </c>
      <c r="X35" s="93">
        <f>('Basisdaten Rev'!U31+'Basisdaten Rev'!U32+'Basisdaten Rev'!U33)/X1</f>
        <v>1490.4291044776119</v>
      </c>
      <c r="Y35" s="93">
        <f>('Basisdaten Rev'!V31+'Basisdaten Rev'!V32+'Basisdaten Rev'!V33)/Y1</f>
        <v>211.49253731343282</v>
      </c>
      <c r="Z35" s="93">
        <f>('Basisdaten Rev'!W31+'Basisdaten Rev'!W32+'Basisdaten Rev'!W33)/Z1</f>
        <v>1184.9720149253731</v>
      </c>
      <c r="AA35" s="93">
        <f>('Basisdaten Rev'!X31+'Basisdaten Rev'!X32+'Basisdaten Rev'!X33)/AA1</f>
        <v>512.94776119402979</v>
      </c>
      <c r="AB35" s="93">
        <f>('Basisdaten Rev'!Y31+'Basisdaten Rev'!Y32+'Basisdaten Rev'!Y33)/AB1</f>
        <v>283.59141791044772</v>
      </c>
      <c r="AC35" s="93">
        <f>('Basisdaten Rev'!Z31+'Basisdaten Rev'!Z32+'Basisdaten Rev'!Z33)/AC1</f>
        <v>485.13992537313436</v>
      </c>
      <c r="AD35" s="98">
        <f t="shared" si="9"/>
        <v>12742.042910447759</v>
      </c>
      <c r="AE35" s="93">
        <f>('Basisdaten Rev'!AB31+'Basisdaten Rev'!AB32+'Basisdaten Rev'!AB33)/AE1</f>
        <v>248.82462686567163</v>
      </c>
      <c r="AF35" s="93">
        <f>('Basisdaten Rev'!AC31+'Basisdaten Rev'!AC32+'Basisdaten Rev'!AC33)/AF1</f>
        <v>238.54477611940297</v>
      </c>
      <c r="AG35" s="93">
        <f>('Basisdaten Rev'!AD31+'Basisdaten Rev'!AD32+'Basisdaten Rev'!AD33)/AG1</f>
        <v>566.30597014925365</v>
      </c>
      <c r="AH35" s="93">
        <f>('Basisdaten Rev'!AE31+'Basisdaten Rev'!AE32+'Basisdaten Rev'!AE33)/AH1</f>
        <v>343.11567164179104</v>
      </c>
      <c r="AI35" s="93">
        <f>('Basisdaten Rev'!AF31+'Basisdaten Rev'!AF32+'Basisdaten Rev'!AF33)/AI1</f>
        <v>653.77798507462683</v>
      </c>
      <c r="AJ35" s="93">
        <f>('Basisdaten Rev'!AG31+'Basisdaten Rev'!AG32+'Basisdaten Rev'!AG33)/AJ1</f>
        <v>0</v>
      </c>
      <c r="AK35" s="93">
        <f>('Basisdaten Rev'!AH31+'Basisdaten Rev'!AH32+'Basisdaten Rev'!AH33)/AK1</f>
        <v>0</v>
      </c>
      <c r="AL35" s="93">
        <f>('Basisdaten Rev'!AI31+'Basisdaten Rev'!AI32+'Basisdaten Rev'!AI33)/AL1</f>
        <v>0</v>
      </c>
      <c r="AM35" s="93">
        <f>('Basisdaten Rev'!AJ31+'Basisdaten Rev'!AJ32+'Basisdaten Rev'!AJ33)/AM1</f>
        <v>0</v>
      </c>
      <c r="AN35" s="93">
        <f>('Basisdaten Rev'!AK31+'Basisdaten Rev'!AK32+'Basisdaten Rev'!AK33)/AN1</f>
        <v>0</v>
      </c>
      <c r="AO35" s="93">
        <f>('Basisdaten Rev'!AL31+'Basisdaten Rev'!AL32+'Basisdaten Rev'!AL33)/AO1</f>
        <v>0</v>
      </c>
      <c r="AP35" s="93">
        <f>('Basisdaten Rev'!AM31+'Basisdaten Rev'!AM32+'Basisdaten Rev'!AM33)/AP1</f>
        <v>0</v>
      </c>
      <c r="AQ35" s="98">
        <f t="shared" si="10"/>
        <v>2050.5690298507461</v>
      </c>
    </row>
    <row r="36" spans="1:43">
      <c r="A36" s="35"/>
      <c r="B36" s="67" t="s">
        <v>112</v>
      </c>
      <c r="C36" s="65" t="s">
        <v>15</v>
      </c>
      <c r="D36" s="86" t="s">
        <v>39</v>
      </c>
      <c r="E36" s="93">
        <f>'Basisdaten Rev'!B34/E1</f>
        <v>0</v>
      </c>
      <c r="F36" s="93">
        <f>'Basisdaten Rev'!C34/F1</f>
        <v>0</v>
      </c>
      <c r="G36" s="93">
        <f>'Basisdaten Rev'!D34/G1</f>
        <v>0</v>
      </c>
      <c r="H36" s="93">
        <f>'Basisdaten Rev'!E34/H1</f>
        <v>0</v>
      </c>
      <c r="I36" s="93">
        <f>'Basisdaten Rev'!F34/I1</f>
        <v>0</v>
      </c>
      <c r="J36" s="93">
        <f>'Basisdaten Rev'!G34/J1</f>
        <v>0</v>
      </c>
      <c r="K36" s="93">
        <f>'Basisdaten Rev'!H34/K1</f>
        <v>0</v>
      </c>
      <c r="L36" s="93">
        <f>'Basisdaten Rev'!I34/L1</f>
        <v>0</v>
      </c>
      <c r="M36" s="93">
        <f>'Basisdaten Rev'!J34/M1</f>
        <v>1.6122448979591837</v>
      </c>
      <c r="N36" s="93">
        <f>'Basisdaten Rev'!K34/N1</f>
        <v>3.0263157894736845</v>
      </c>
      <c r="O36" s="93">
        <f>'Basisdaten Rev'!L34/O1</f>
        <v>50.086455331412111</v>
      </c>
      <c r="P36" s="93">
        <f>'Basisdaten Rev'!M34/P1</f>
        <v>687.68656716417911</v>
      </c>
      <c r="Q36" s="98">
        <f t="shared" si="8"/>
        <v>742.41158318302405</v>
      </c>
      <c r="R36" s="93">
        <f>'Basisdaten Rev'!O34/R1</f>
        <v>879.30970149253722</v>
      </c>
      <c r="S36" s="93">
        <f>'Basisdaten Rev'!P34/S1</f>
        <v>305.95149253731341</v>
      </c>
      <c r="T36" s="93">
        <f>'Basisdaten Rev'!Q34/T1</f>
        <v>210.73694029850745</v>
      </c>
      <c r="U36" s="93">
        <f>'Basisdaten Rev'!R34/U1</f>
        <v>457.0988805970149</v>
      </c>
      <c r="V36" s="93">
        <f>'Basisdaten Rev'!S34/V1</f>
        <v>975.78358208955217</v>
      </c>
      <c r="W36" s="93">
        <f>'Basisdaten Rev'!T34/W1</f>
        <v>667.17350746268653</v>
      </c>
      <c r="X36" s="93">
        <f>'Basisdaten Rev'!U34/X1</f>
        <v>359.57089552238801</v>
      </c>
      <c r="Y36" s="93">
        <f>'Basisdaten Rev'!V34/Y1</f>
        <v>262.43470149253727</v>
      </c>
      <c r="Z36" s="93">
        <f>'Basisdaten Rev'!W34/Z1</f>
        <v>266.45522388059698</v>
      </c>
      <c r="AA36" s="93">
        <f>'Basisdaten Rev'!X34/AA1</f>
        <v>188.75</v>
      </c>
      <c r="AB36" s="93">
        <f>'Basisdaten Rev'!Y34/AB1</f>
        <v>333.65391791044777</v>
      </c>
      <c r="AC36" s="93">
        <f>'Basisdaten Rev'!Z34/AC1</f>
        <v>327.36007462686564</v>
      </c>
      <c r="AD36" s="98">
        <f t="shared" si="9"/>
        <v>5234.2789179104475</v>
      </c>
      <c r="AE36" s="93">
        <f>'Basisdaten Rev'!AB34/AE1</f>
        <v>169.37499999999997</v>
      </c>
      <c r="AF36" s="93">
        <f>'Basisdaten Rev'!AC34/AF1</f>
        <v>263.14365671641787</v>
      </c>
      <c r="AG36" s="93">
        <f>'Basisdaten Rev'!AD34/AG1</f>
        <v>257.5</v>
      </c>
      <c r="AH36" s="93">
        <f>'Basisdaten Rev'!AE34/AH1</f>
        <v>257.20149253731347</v>
      </c>
      <c r="AI36" s="93">
        <f>'Basisdaten Rev'!AF34/AI1</f>
        <v>100.74626865671641</v>
      </c>
      <c r="AJ36" s="93">
        <f>'Basisdaten Rev'!AG34/AJ1</f>
        <v>0</v>
      </c>
      <c r="AK36" s="93">
        <f>'Basisdaten Rev'!AH34/AK1</f>
        <v>0</v>
      </c>
      <c r="AL36" s="93">
        <f>'Basisdaten Rev'!AI34/AL1</f>
        <v>0</v>
      </c>
      <c r="AM36" s="93">
        <f>'Basisdaten Rev'!AJ34/AM1</f>
        <v>0</v>
      </c>
      <c r="AN36" s="93">
        <f>'Basisdaten Rev'!AK34/AN1</f>
        <v>0</v>
      </c>
      <c r="AO36" s="93">
        <f>'Basisdaten Rev'!AL34/AO1</f>
        <v>0</v>
      </c>
      <c r="AP36" s="93">
        <f>'Basisdaten Rev'!AM34/AP1</f>
        <v>0</v>
      </c>
      <c r="AQ36" s="98">
        <f t="shared" si="10"/>
        <v>1047.9664179104477</v>
      </c>
    </row>
    <row r="37" spans="1:43">
      <c r="A37" s="35"/>
      <c r="B37" s="67" t="s">
        <v>112</v>
      </c>
      <c r="C37" s="65" t="s">
        <v>109</v>
      </c>
      <c r="D37" s="86" t="s">
        <v>39</v>
      </c>
      <c r="E37" s="93">
        <f>'Basisdaten Rev'!B35/E1</f>
        <v>0</v>
      </c>
      <c r="F37" s="93">
        <f>'Basisdaten Rev'!C35/F1</f>
        <v>0</v>
      </c>
      <c r="G37" s="93">
        <f>'Basisdaten Rev'!D35/G1</f>
        <v>0</v>
      </c>
      <c r="H37" s="93">
        <f>'Basisdaten Rev'!E35/H1</f>
        <v>0</v>
      </c>
      <c r="I37" s="93">
        <f>'Basisdaten Rev'!F35/I1</f>
        <v>0</v>
      </c>
      <c r="J37" s="93">
        <f>'Basisdaten Rev'!G35/J1</f>
        <v>0</v>
      </c>
      <c r="K37" s="93">
        <f>'Basisdaten Rev'!H35/K1</f>
        <v>0</v>
      </c>
      <c r="L37" s="93">
        <f>'Basisdaten Rev'!I35/L1</f>
        <v>0</v>
      </c>
      <c r="M37" s="93">
        <f>'Basisdaten Rev'!J35/M1</f>
        <v>7.5510204081632661</v>
      </c>
      <c r="N37" s="93">
        <f>'Basisdaten Rev'!K35/N1</f>
        <v>32.823886639676111</v>
      </c>
      <c r="O37" s="93">
        <f>'Basisdaten Rev'!L35/O1</f>
        <v>102.45917387127763</v>
      </c>
      <c r="P37" s="93">
        <f>'Basisdaten Rev'!M35/P1</f>
        <v>154.5149253731343</v>
      </c>
      <c r="Q37" s="98">
        <f t="shared" si="8"/>
        <v>297.34900629225132</v>
      </c>
      <c r="R37" s="93">
        <f>'Basisdaten Rev'!O35/R1</f>
        <v>223.93656716417908</v>
      </c>
      <c r="S37" s="93">
        <f>'Basisdaten Rev'!P35/S1</f>
        <v>199.21641791044775</v>
      </c>
      <c r="T37" s="93">
        <f>'Basisdaten Rev'!Q35/T1</f>
        <v>148.83395522388059</v>
      </c>
      <c r="U37" s="93">
        <f>'Basisdaten Rev'!R35/U1</f>
        <v>448.19029850746261</v>
      </c>
      <c r="V37" s="93">
        <f>'Basisdaten Rev'!S35/V1</f>
        <v>335.55970149253733</v>
      </c>
      <c r="W37" s="93">
        <f>'Basisdaten Rev'!T35/W1</f>
        <v>282.43470149253727</v>
      </c>
      <c r="X37" s="93">
        <f>'Basisdaten Rev'!U35/X1</f>
        <v>179.27238805970148</v>
      </c>
      <c r="Y37" s="93">
        <f>'Basisdaten Rev'!V35/Y1</f>
        <v>421.64179104477608</v>
      </c>
      <c r="Z37" s="93">
        <f>'Basisdaten Rev'!W35/Z1</f>
        <v>522.70522388059703</v>
      </c>
      <c r="AA37" s="93">
        <f>'Basisdaten Rev'!X35/AA1</f>
        <v>94.701492537313428</v>
      </c>
      <c r="AB37" s="93">
        <f>'Basisdaten Rev'!Y35/AB1</f>
        <v>231.31529850746267</v>
      </c>
      <c r="AC37" s="93">
        <f>'Basisdaten Rev'!Z35/AC1</f>
        <v>34.682835820895519</v>
      </c>
      <c r="AD37" s="98">
        <f t="shared" si="9"/>
        <v>3122.4906716417909</v>
      </c>
      <c r="AE37" s="93">
        <f>'Basisdaten Rev'!AB35/AE1</f>
        <v>1.3059701492537312</v>
      </c>
      <c r="AF37" s="93">
        <f>'Basisdaten Rev'!AC35/AF1</f>
        <v>0.54104477611940294</v>
      </c>
      <c r="AG37" s="93">
        <f>'Basisdaten Rev'!AD35/AG1</f>
        <v>0.5503731343283581</v>
      </c>
      <c r="AH37" s="93">
        <f>'Basisdaten Rev'!AE35/AH1</f>
        <v>0.89552238805970141</v>
      </c>
      <c r="AI37" s="93">
        <f>'Basisdaten Rev'!AF35/AI1</f>
        <v>1.4925373134328359</v>
      </c>
      <c r="AJ37" s="93">
        <f>'Basisdaten Rev'!AG35/AJ1</f>
        <v>0</v>
      </c>
      <c r="AK37" s="93">
        <f>'Basisdaten Rev'!AH35/AK1</f>
        <v>0</v>
      </c>
      <c r="AL37" s="93">
        <f>'Basisdaten Rev'!AI35/AL1</f>
        <v>0</v>
      </c>
      <c r="AM37" s="93">
        <f>'Basisdaten Rev'!AJ35/AM1</f>
        <v>0</v>
      </c>
      <c r="AN37" s="93">
        <f>'Basisdaten Rev'!AK35/AN1</f>
        <v>0</v>
      </c>
      <c r="AO37" s="93">
        <f>'Basisdaten Rev'!AL35/AO1</f>
        <v>0</v>
      </c>
      <c r="AP37" s="93">
        <f>'Basisdaten Rev'!AM35/AP1</f>
        <v>0</v>
      </c>
      <c r="AQ37" s="98">
        <f t="shared" si="10"/>
        <v>4.78544776119403</v>
      </c>
    </row>
    <row r="38" spans="1:43">
      <c r="A38" s="35"/>
      <c r="B38" s="33" t="s">
        <v>37</v>
      </c>
      <c r="C38" s="58" t="s">
        <v>108</v>
      </c>
      <c r="D38" s="33" t="s">
        <v>40</v>
      </c>
      <c r="E38" s="94">
        <f>'Basisdaten Rev'!B42</f>
        <v>2750</v>
      </c>
      <c r="F38" s="94">
        <f>'Basisdaten Rev'!C42</f>
        <v>5505</v>
      </c>
      <c r="G38" s="94">
        <f>'Basisdaten Rev'!D42</f>
        <v>6200</v>
      </c>
      <c r="H38" s="94">
        <f>'Basisdaten Rev'!E42</f>
        <v>7438</v>
      </c>
      <c r="I38" s="94">
        <f>'Basisdaten Rev'!F42</f>
        <v>9263</v>
      </c>
      <c r="J38" s="94">
        <f>'Basisdaten Rev'!G42</f>
        <v>7761</v>
      </c>
      <c r="K38" s="94">
        <f>'Basisdaten Rev'!H42</f>
        <v>8165</v>
      </c>
      <c r="L38" s="94">
        <f>'Basisdaten Rev'!I42</f>
        <v>6202</v>
      </c>
      <c r="M38" s="94">
        <f>'Basisdaten Rev'!J42</f>
        <v>12360</v>
      </c>
      <c r="N38" s="94">
        <f>'Basisdaten Rev'!K42</f>
        <v>7150</v>
      </c>
      <c r="O38" s="94">
        <f>'Basisdaten Rev'!L42</f>
        <v>8137.15</v>
      </c>
      <c r="P38" s="94">
        <f>'Basisdaten Rev'!M42</f>
        <v>7018.41</v>
      </c>
      <c r="Q38" s="99">
        <f t="shared" si="8"/>
        <v>87949.56</v>
      </c>
      <c r="R38" s="94">
        <f>'Basisdaten Rev'!O42</f>
        <v>5935.02</v>
      </c>
      <c r="S38" s="94">
        <f>'Basisdaten Rev'!P42</f>
        <v>5475</v>
      </c>
      <c r="T38" s="94">
        <f>'Basisdaten Rev'!Q42</f>
        <v>8507.91</v>
      </c>
      <c r="U38" s="94">
        <f>'Basisdaten Rev'!R42</f>
        <v>7548</v>
      </c>
      <c r="V38" s="94">
        <f>'Basisdaten Rev'!S42</f>
        <v>8068.25</v>
      </c>
      <c r="W38" s="94">
        <f>'Basisdaten Rev'!T42</f>
        <v>5404.35</v>
      </c>
      <c r="X38" s="94">
        <f>'Basisdaten Rev'!U42</f>
        <v>3706</v>
      </c>
      <c r="Y38" s="94">
        <f>'Basisdaten Rev'!V42</f>
        <v>4353.5</v>
      </c>
      <c r="Z38" s="94">
        <f>'Basisdaten Rev'!W42</f>
        <v>3712.97</v>
      </c>
      <c r="AA38" s="94">
        <f>'Basisdaten Rev'!X42</f>
        <v>4720.3500000000004</v>
      </c>
      <c r="AB38" s="94">
        <f>'Basisdaten Rev'!Y42</f>
        <v>6392.05</v>
      </c>
      <c r="AC38" s="94">
        <f>'Basisdaten Rev'!Z42</f>
        <v>3865.98</v>
      </c>
      <c r="AD38" s="99">
        <f t="shared" si="9"/>
        <v>67689.38</v>
      </c>
      <c r="AE38" s="94">
        <f>'Basisdaten Rev'!AB42</f>
        <v>4211</v>
      </c>
      <c r="AF38" s="94">
        <f>'Basisdaten Rev'!AC42</f>
        <v>3760</v>
      </c>
      <c r="AG38" s="94">
        <f>'Basisdaten Rev'!AD42</f>
        <v>4212</v>
      </c>
      <c r="AH38" s="94">
        <f>'Basisdaten Rev'!AE42</f>
        <v>3505</v>
      </c>
      <c r="AI38" s="94">
        <f>'Basisdaten Rev'!AF42</f>
        <v>3234</v>
      </c>
      <c r="AJ38" s="94">
        <f>'Basisdaten Rev'!AG42</f>
        <v>0</v>
      </c>
      <c r="AK38" s="94">
        <f>'Basisdaten Rev'!AH42</f>
        <v>0</v>
      </c>
      <c r="AL38" s="94">
        <f>'Basisdaten Rev'!AI42</f>
        <v>0</v>
      </c>
      <c r="AM38" s="94">
        <f>'Basisdaten Rev'!AJ42</f>
        <v>0</v>
      </c>
      <c r="AN38" s="94">
        <f>'Basisdaten Rev'!AK42</f>
        <v>0</v>
      </c>
      <c r="AO38" s="94">
        <f>'Basisdaten Rev'!AL42</f>
        <v>0</v>
      </c>
      <c r="AP38" s="94">
        <f>'Basisdaten Rev'!AM42</f>
        <v>0</v>
      </c>
      <c r="AQ38" s="99">
        <f t="shared" si="10"/>
        <v>18922</v>
      </c>
    </row>
    <row r="39" spans="1:43">
      <c r="A39" s="35"/>
      <c r="B39" s="33" t="s">
        <v>37</v>
      </c>
      <c r="C39" s="58" t="s">
        <v>15</v>
      </c>
      <c r="D39" s="33" t="s">
        <v>40</v>
      </c>
      <c r="E39" s="94">
        <f>'Basisdaten Rev'!B43</f>
        <v>130</v>
      </c>
      <c r="F39" s="94">
        <f>'Basisdaten Rev'!C43</f>
        <v>338.39285714285711</v>
      </c>
      <c r="G39" s="94">
        <f>'Basisdaten Rev'!D43</f>
        <v>136.60714285714283</v>
      </c>
      <c r="H39" s="94">
        <f>'Basisdaten Rev'!E43</f>
        <v>62</v>
      </c>
      <c r="I39" s="94">
        <f>'Basisdaten Rev'!F43</f>
        <v>42</v>
      </c>
      <c r="J39" s="94">
        <f>'Basisdaten Rev'!G43</f>
        <v>43</v>
      </c>
      <c r="K39" s="94">
        <f>'Basisdaten Rev'!H43</f>
        <v>3</v>
      </c>
      <c r="L39" s="94">
        <f>'Basisdaten Rev'!I43</f>
        <v>138.37</v>
      </c>
      <c r="M39" s="94">
        <f>'Basisdaten Rev'!J43</f>
        <v>300</v>
      </c>
      <c r="N39" s="94">
        <f>'Basisdaten Rev'!K43</f>
        <v>290</v>
      </c>
      <c r="O39" s="94">
        <f>'Basisdaten Rev'!L43</f>
        <v>297</v>
      </c>
      <c r="P39" s="94">
        <f>'Basisdaten Rev'!M43</f>
        <v>114.57</v>
      </c>
      <c r="Q39" s="99">
        <f t="shared" si="8"/>
        <v>1894.9399999999998</v>
      </c>
      <c r="R39" s="94">
        <f>'Basisdaten Rev'!O43</f>
        <v>103.91</v>
      </c>
      <c r="S39" s="94">
        <f>'Basisdaten Rev'!P43</f>
        <v>70.95</v>
      </c>
      <c r="T39" s="94">
        <f>'Basisdaten Rev'!Q43</f>
        <v>320</v>
      </c>
      <c r="U39" s="94">
        <f>'Basisdaten Rev'!R43</f>
        <v>100</v>
      </c>
      <c r="V39" s="94">
        <f>'Basisdaten Rev'!S43</f>
        <v>100</v>
      </c>
      <c r="W39" s="94">
        <f>'Basisdaten Rev'!T43</f>
        <v>100</v>
      </c>
      <c r="X39" s="94">
        <f>'Basisdaten Rev'!U43</f>
        <v>80</v>
      </c>
      <c r="Y39" s="94">
        <f>'Basisdaten Rev'!V43</f>
        <v>100</v>
      </c>
      <c r="Z39" s="94">
        <f>'Basisdaten Rev'!W43</f>
        <v>80</v>
      </c>
      <c r="AA39" s="94">
        <f>'Basisdaten Rev'!X43</f>
        <v>65</v>
      </c>
      <c r="AB39" s="94">
        <f>'Basisdaten Rev'!Y43</f>
        <v>115</v>
      </c>
      <c r="AC39" s="94">
        <f>'Basisdaten Rev'!Z43</f>
        <v>70</v>
      </c>
      <c r="AD39" s="99">
        <f t="shared" si="9"/>
        <v>1304.8600000000001</v>
      </c>
      <c r="AE39" s="94">
        <f>'Basisdaten Rev'!AB43</f>
        <v>65</v>
      </c>
      <c r="AF39" s="94">
        <f>'Basisdaten Rev'!AC43</f>
        <v>20</v>
      </c>
      <c r="AG39" s="94">
        <f>'Basisdaten Rev'!AD43</f>
        <v>0</v>
      </c>
      <c r="AH39" s="94">
        <f>'Basisdaten Rev'!AE43</f>
        <v>0</v>
      </c>
      <c r="AI39" s="94">
        <f>'Basisdaten Rev'!AF43</f>
        <v>0</v>
      </c>
      <c r="AJ39" s="94">
        <f>'Basisdaten Rev'!AG43</f>
        <v>0</v>
      </c>
      <c r="AK39" s="94">
        <f>'Basisdaten Rev'!AH43</f>
        <v>0</v>
      </c>
      <c r="AL39" s="94">
        <f>'Basisdaten Rev'!AI43</f>
        <v>0</v>
      </c>
      <c r="AM39" s="94">
        <f>'Basisdaten Rev'!AJ43</f>
        <v>0</v>
      </c>
      <c r="AN39" s="94">
        <f>'Basisdaten Rev'!AK43</f>
        <v>0</v>
      </c>
      <c r="AO39" s="94">
        <f>'Basisdaten Rev'!AL43</f>
        <v>0</v>
      </c>
      <c r="AP39" s="94">
        <f>'Basisdaten Rev'!AM43</f>
        <v>0</v>
      </c>
      <c r="AQ39" s="99">
        <f t="shared" si="10"/>
        <v>85</v>
      </c>
    </row>
    <row r="40" spans="1:43">
      <c r="A40" s="35"/>
      <c r="B40" s="33" t="s">
        <v>37</v>
      </c>
      <c r="C40" s="59" t="s">
        <v>109</v>
      </c>
      <c r="D40" s="33" t="s">
        <v>40</v>
      </c>
      <c r="E40" s="94">
        <f>'Basisdaten Rev'!B44</f>
        <v>5</v>
      </c>
      <c r="F40" s="94">
        <f>'Basisdaten Rev'!C44</f>
        <v>7.1428571428571423</v>
      </c>
      <c r="G40" s="94">
        <f>'Basisdaten Rev'!D44</f>
        <v>7.1428571428571423</v>
      </c>
      <c r="H40" s="94">
        <f>'Basisdaten Rev'!E44</f>
        <v>10</v>
      </c>
      <c r="I40" s="94">
        <f>'Basisdaten Rev'!F44</f>
        <v>9</v>
      </c>
      <c r="J40" s="94">
        <f>'Basisdaten Rev'!G44</f>
        <v>10</v>
      </c>
      <c r="K40" s="94">
        <f>'Basisdaten Rev'!H44</f>
        <v>1</v>
      </c>
      <c r="L40" s="94">
        <f>'Basisdaten Rev'!I44</f>
        <v>14.17</v>
      </c>
      <c r="M40" s="94">
        <f>'Basisdaten Rev'!J44</f>
        <v>100</v>
      </c>
      <c r="N40" s="94">
        <f>'Basisdaten Rev'!K44</f>
        <v>95</v>
      </c>
      <c r="O40" s="94">
        <f>'Basisdaten Rev'!L44</f>
        <v>61</v>
      </c>
      <c r="P40" s="94">
        <f>'Basisdaten Rev'!M44</f>
        <v>77.53</v>
      </c>
      <c r="Q40" s="99">
        <f t="shared" si="8"/>
        <v>396.98571428571427</v>
      </c>
      <c r="R40" s="94">
        <f>'Basisdaten Rev'!O44</f>
        <v>54.26</v>
      </c>
      <c r="S40" s="94">
        <f>'Basisdaten Rev'!P44</f>
        <v>73</v>
      </c>
      <c r="T40" s="94">
        <f>'Basisdaten Rev'!Q44</f>
        <v>90</v>
      </c>
      <c r="U40" s="94">
        <f>'Basisdaten Rev'!R44</f>
        <v>80</v>
      </c>
      <c r="V40" s="94">
        <f>'Basisdaten Rev'!S44</f>
        <v>90</v>
      </c>
      <c r="W40" s="94">
        <f>'Basisdaten Rev'!T44</f>
        <v>80</v>
      </c>
      <c r="X40" s="94">
        <f>'Basisdaten Rev'!U44</f>
        <v>80</v>
      </c>
      <c r="Y40" s="94">
        <f>'Basisdaten Rev'!V44</f>
        <v>75</v>
      </c>
      <c r="Z40" s="94">
        <f>'Basisdaten Rev'!W44</f>
        <v>100</v>
      </c>
      <c r="AA40" s="94">
        <f>'Basisdaten Rev'!X44</f>
        <v>70</v>
      </c>
      <c r="AB40" s="94">
        <f>'Basisdaten Rev'!Y44</f>
        <v>80</v>
      </c>
      <c r="AC40" s="94">
        <f>'Basisdaten Rev'!Z44</f>
        <v>35</v>
      </c>
      <c r="AD40" s="99">
        <f t="shared" si="9"/>
        <v>907.26</v>
      </c>
      <c r="AE40" s="94">
        <f>'Basisdaten Rev'!AB44</f>
        <v>15</v>
      </c>
      <c r="AF40" s="94">
        <f>'Basisdaten Rev'!AC44</f>
        <v>30</v>
      </c>
      <c r="AG40" s="94">
        <f>'Basisdaten Rev'!AD44</f>
        <v>7</v>
      </c>
      <c r="AH40" s="94">
        <f>'Basisdaten Rev'!AE44</f>
        <v>28</v>
      </c>
      <c r="AI40" s="94">
        <f>'Basisdaten Rev'!AF44</f>
        <v>34</v>
      </c>
      <c r="AJ40" s="94">
        <f>'Basisdaten Rev'!AG44</f>
        <v>0</v>
      </c>
      <c r="AK40" s="94">
        <f>'Basisdaten Rev'!AH44</f>
        <v>0</v>
      </c>
      <c r="AL40" s="94">
        <f>'Basisdaten Rev'!AI44</f>
        <v>0</v>
      </c>
      <c r="AM40" s="94">
        <f>'Basisdaten Rev'!AJ44</f>
        <v>0</v>
      </c>
      <c r="AN40" s="94">
        <f>'Basisdaten Rev'!AK44</f>
        <v>0</v>
      </c>
      <c r="AO40" s="94">
        <f>'Basisdaten Rev'!AL44</f>
        <v>0</v>
      </c>
      <c r="AP40" s="94">
        <f>'Basisdaten Rev'!AM44</f>
        <v>0</v>
      </c>
      <c r="AQ40" s="99">
        <f t="shared" si="10"/>
        <v>114</v>
      </c>
    </row>
    <row r="41" spans="1:43">
      <c r="A41" s="35"/>
      <c r="B41" s="71"/>
      <c r="C41" s="70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0"/>
    </row>
  </sheetData>
  <autoFilter ref="B7:Q40" xr:uid="{EA9D5966-AD0B-4C8D-9BDF-5CA851183B06}"/>
  <mergeCells count="2">
    <mergeCell ref="C1:D1"/>
    <mergeCell ref="B2:B4"/>
  </mergeCells>
  <conditionalFormatting sqref="B7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:Q41">
    <cfRule type="cellIs" dxfId="47" priority="85" stopIfTrue="1" operator="equal">
      <formula>0</formula>
    </cfRule>
  </conditionalFormatting>
  <conditionalFormatting sqref="E8:AD11">
    <cfRule type="cellIs" dxfId="46" priority="21" stopIfTrue="1" operator="equal">
      <formula>0</formula>
    </cfRule>
  </conditionalFormatting>
  <conditionalFormatting sqref="E21:AD22">
    <cfRule type="cellIs" dxfId="45" priority="70" stopIfTrue="1" operator="equal">
      <formula>0</formula>
    </cfRule>
  </conditionalFormatting>
  <conditionalFormatting sqref="L23:Q25">
    <cfRule type="cellIs" dxfId="44" priority="93" stopIfTrue="1" operator="equal">
      <formula>0</formula>
    </cfRule>
  </conditionalFormatting>
  <conditionalFormatting sqref="R12:AD40">
    <cfRule type="cellIs" dxfId="43" priority="5" stopIfTrue="1" operator="equal">
      <formula>0</formula>
    </cfRule>
  </conditionalFormatting>
  <conditionalFormatting sqref="Y23:AC25">
    <cfRule type="cellIs" dxfId="42" priority="35" stopIfTrue="1" operator="equal">
      <formula>0</formula>
    </cfRule>
  </conditionalFormatting>
  <conditionalFormatting sqref="AE8:AQ40">
    <cfRule type="cellIs" dxfId="41" priority="1" stopIfTrue="1" operator="equal">
      <formula>0</formula>
    </cfRule>
  </conditionalFormatting>
  <conditionalFormatting sqref="AL23:AP25">
    <cfRule type="cellIs" dxfId="40" priority="3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4F84E-0598-4F4E-A2BD-1944EBF0E62A}">
  <sheetPr>
    <tabColor theme="8" tint="-0.499984740745262"/>
  </sheetPr>
  <dimension ref="A1:AQ41"/>
  <sheetViews>
    <sheetView showGridLines="0" zoomScale="106" zoomScaleNormal="106" workbookViewId="0">
      <pane xSplit="4" ySplit="7" topLeftCell="X8" activePane="bottomRight" state="frozen"/>
      <selection activeCell="D6" sqref="D6"/>
      <selection pane="topRight" activeCell="D6" sqref="D6"/>
      <selection pane="bottomLeft" activeCell="D6" sqref="D6"/>
      <selection pane="bottomRight" activeCell="AE8" sqref="AE8"/>
    </sheetView>
  </sheetViews>
  <sheetFormatPr baseColWidth="10" defaultColWidth="11.42578125" defaultRowHeight="12.75" outlineLevelCol="1"/>
  <cols>
    <col min="1" max="1" width="1.7109375" style="29" customWidth="1"/>
    <col min="2" max="2" width="18.140625" style="29" bestFit="1" customWidth="1"/>
    <col min="3" max="3" width="11.140625" style="29" customWidth="1"/>
    <col min="4" max="4" width="8.42578125" style="29" customWidth="1"/>
    <col min="5" max="6" width="12.42578125" style="29" customWidth="1" outlineLevel="1"/>
    <col min="7" max="15" width="11.42578125" style="29" customWidth="1" outlineLevel="1"/>
    <col min="16" max="16" width="12.42578125" style="29" customWidth="1" outlineLevel="1"/>
    <col min="17" max="17" width="11.42578125" style="29" bestFit="1" customWidth="1"/>
    <col min="18" max="29" width="11.42578125" style="29" outlineLevel="1"/>
    <col min="30" max="16384" width="11.42578125" style="29"/>
  </cols>
  <sheetData>
    <row r="1" spans="1:43" s="27" customFormat="1">
      <c r="A1" s="26"/>
      <c r="B1" s="28"/>
      <c r="C1" s="28"/>
      <c r="Q1" s="28"/>
    </row>
    <row r="2" spans="1:43" s="27" customFormat="1">
      <c r="A2" s="26"/>
      <c r="B2" s="223" t="s">
        <v>160</v>
      </c>
      <c r="C2" s="120" t="s">
        <v>108</v>
      </c>
      <c r="D2" s="121" t="s">
        <v>156</v>
      </c>
      <c r="E2" s="122">
        <f t="shared" ref="E2:AB2" si="0">SUMIF($C$8:$C$51,$C$2,E$8:E$51)</f>
        <v>47960032</v>
      </c>
      <c r="F2" s="122">
        <f t="shared" si="0"/>
        <v>48753243</v>
      </c>
      <c r="G2" s="122">
        <f t="shared" si="0"/>
        <v>44857106</v>
      </c>
      <c r="H2" s="122">
        <f t="shared" si="0"/>
        <v>45071046</v>
      </c>
      <c r="I2" s="122">
        <f t="shared" si="0"/>
        <v>45201545</v>
      </c>
      <c r="J2" s="122">
        <f t="shared" si="0"/>
        <v>40113550</v>
      </c>
      <c r="K2" s="122">
        <f t="shared" si="0"/>
        <v>52129357</v>
      </c>
      <c r="L2" s="122">
        <f t="shared" si="0"/>
        <v>60497128</v>
      </c>
      <c r="M2" s="122">
        <f t="shared" si="0"/>
        <v>68399412</v>
      </c>
      <c r="N2" s="122">
        <f t="shared" si="0"/>
        <v>64282541</v>
      </c>
      <c r="O2" s="122">
        <f t="shared" si="0"/>
        <v>55065081</v>
      </c>
      <c r="P2" s="122">
        <f>SUMIF($C$8:$C$51,$C$2,P$8:P$51)</f>
        <v>53510564</v>
      </c>
      <c r="Q2" s="134">
        <f>SUM(E2:P2)</f>
        <v>625840605</v>
      </c>
      <c r="R2" s="122">
        <f t="shared" si="0"/>
        <v>56465984</v>
      </c>
      <c r="S2" s="122">
        <f t="shared" si="0"/>
        <v>41083454</v>
      </c>
      <c r="T2" s="122">
        <f t="shared" si="0"/>
        <v>50757964</v>
      </c>
      <c r="U2" s="122">
        <f t="shared" si="0"/>
        <v>46147319</v>
      </c>
      <c r="V2" s="122">
        <f t="shared" si="0"/>
        <v>54317128</v>
      </c>
      <c r="W2" s="122">
        <f t="shared" si="0"/>
        <v>49652619</v>
      </c>
      <c r="X2" s="122">
        <f t="shared" si="0"/>
        <v>46728911</v>
      </c>
      <c r="Y2" s="122">
        <f t="shared" si="0"/>
        <v>39095019</v>
      </c>
      <c r="Z2" s="122">
        <f t="shared" si="0"/>
        <v>41274578</v>
      </c>
      <c r="AA2" s="122">
        <f t="shared" si="0"/>
        <v>50576145</v>
      </c>
      <c r="AB2" s="122">
        <f t="shared" si="0"/>
        <v>47761801</v>
      </c>
      <c r="AC2" s="122">
        <f>SUMIF($C$8:$C$51,$C$2,AC$8:AC$51)</f>
        <v>50635110</v>
      </c>
      <c r="AD2" s="134">
        <f>SUM(R2:AC2)</f>
        <v>574496032</v>
      </c>
      <c r="AE2" s="122">
        <f t="shared" ref="AE2:AO2" si="1">SUMIF($C$8:$C$51,$C$2,AE$8:AE$51)</f>
        <v>53029880</v>
      </c>
      <c r="AF2" s="122">
        <f t="shared" si="1"/>
        <v>61230293</v>
      </c>
      <c r="AG2" s="122">
        <f t="shared" si="1"/>
        <v>82873887</v>
      </c>
      <c r="AH2" s="122">
        <f t="shared" si="1"/>
        <v>66107943</v>
      </c>
      <c r="AI2" s="122">
        <f t="shared" si="1"/>
        <v>47800787</v>
      </c>
      <c r="AJ2" s="122">
        <f t="shared" si="1"/>
        <v>48037950</v>
      </c>
      <c r="AK2" s="122">
        <f t="shared" si="1"/>
        <v>56585019</v>
      </c>
      <c r="AL2" s="122">
        <f t="shared" si="1"/>
        <v>36689048</v>
      </c>
      <c r="AM2" s="122">
        <f t="shared" si="1"/>
        <v>0</v>
      </c>
      <c r="AN2" s="122">
        <f t="shared" si="1"/>
        <v>0</v>
      </c>
      <c r="AO2" s="122">
        <f t="shared" si="1"/>
        <v>0</v>
      </c>
      <c r="AP2" s="122">
        <f>SUMIF($C$8:$C$51,$C$2,AP$8:AP$51)</f>
        <v>0</v>
      </c>
      <c r="AQ2" s="134">
        <f>SUM(AE2:AP2)</f>
        <v>452354807</v>
      </c>
    </row>
    <row r="3" spans="1:43" s="27" customFormat="1">
      <c r="A3" s="26"/>
      <c r="B3" s="223"/>
      <c r="C3" s="112" t="s">
        <v>15</v>
      </c>
      <c r="D3" s="113" t="s">
        <v>156</v>
      </c>
      <c r="E3" s="114">
        <f t="shared" ref="E3:AB3" si="2">SUMIF($C$8:$C$51,$C$3,E$8:E$51)</f>
        <v>2699492</v>
      </c>
      <c r="F3" s="114">
        <f>SUMIF($C$8:$C$51,$C$3,F$8:F$51)</f>
        <v>2533530</v>
      </c>
      <c r="G3" s="114">
        <f t="shared" si="2"/>
        <v>2098394</v>
      </c>
      <c r="H3" s="114">
        <f t="shared" si="2"/>
        <v>2181863</v>
      </c>
      <c r="I3" s="114">
        <f t="shared" si="2"/>
        <v>4451837</v>
      </c>
      <c r="J3" s="114">
        <f t="shared" si="2"/>
        <v>13113195</v>
      </c>
      <c r="K3" s="114">
        <f t="shared" si="2"/>
        <v>14755349</v>
      </c>
      <c r="L3" s="114">
        <f t="shared" si="2"/>
        <v>24368483</v>
      </c>
      <c r="M3" s="114">
        <f t="shared" si="2"/>
        <v>48071732</v>
      </c>
      <c r="N3" s="114">
        <f t="shared" si="2"/>
        <v>22471968</v>
      </c>
      <c r="O3" s="114">
        <f t="shared" si="2"/>
        <v>34020279</v>
      </c>
      <c r="P3" s="114">
        <f>SUMIF($C$8:$C$51,$C$3,P$8:P$51)</f>
        <v>41544520</v>
      </c>
      <c r="Q3" s="135">
        <f>SUM(E3:P3)</f>
        <v>212310642</v>
      </c>
      <c r="R3" s="114">
        <f t="shared" si="2"/>
        <v>41463450</v>
      </c>
      <c r="S3" s="114">
        <f>SUMIF($C$8:$C$51,$C$3,S$8:S$51)</f>
        <v>31794595</v>
      </c>
      <c r="T3" s="114">
        <f t="shared" si="2"/>
        <v>30593497</v>
      </c>
      <c r="U3" s="114">
        <f t="shared" si="2"/>
        <v>27239789</v>
      </c>
      <c r="V3" s="114">
        <f t="shared" si="2"/>
        <v>28944599</v>
      </c>
      <c r="W3" s="114">
        <f t="shared" si="2"/>
        <v>19809812</v>
      </c>
      <c r="X3" s="114">
        <f t="shared" si="2"/>
        <v>22602312</v>
      </c>
      <c r="Y3" s="114">
        <f t="shared" si="2"/>
        <v>11431682</v>
      </c>
      <c r="Z3" s="114">
        <f t="shared" si="2"/>
        <v>11143395</v>
      </c>
      <c r="AA3" s="114">
        <f t="shared" si="2"/>
        <v>9595686</v>
      </c>
      <c r="AB3" s="114">
        <f t="shared" si="2"/>
        <v>3494162</v>
      </c>
      <c r="AC3" s="114">
        <f>SUMIF($C$8:$C$51,$C$3,AC$8:AC$51)</f>
        <v>4048728</v>
      </c>
      <c r="AD3" s="135">
        <f>SUM(R3:AC3)</f>
        <v>242161707</v>
      </c>
      <c r="AE3" s="114">
        <f t="shared" ref="AE3:AO3" si="3">SUMIF($C$8:$C$51,$C$3,AE$8:AE$51)</f>
        <v>4235583</v>
      </c>
      <c r="AF3" s="114">
        <f>SUMIF($C$8:$C$51,$C$3,AF$8:AF$51)</f>
        <v>5619881</v>
      </c>
      <c r="AG3" s="114">
        <f t="shared" si="3"/>
        <v>8105651</v>
      </c>
      <c r="AH3" s="114">
        <f t="shared" si="3"/>
        <v>8885245</v>
      </c>
      <c r="AI3" s="114">
        <f t="shared" si="3"/>
        <v>21817634</v>
      </c>
      <c r="AJ3" s="114">
        <f t="shared" si="3"/>
        <v>25858430</v>
      </c>
      <c r="AK3" s="114">
        <f t="shared" si="3"/>
        <v>28467724</v>
      </c>
      <c r="AL3" s="114">
        <f t="shared" si="3"/>
        <v>1015919</v>
      </c>
      <c r="AM3" s="114">
        <f t="shared" si="3"/>
        <v>0</v>
      </c>
      <c r="AN3" s="114">
        <f t="shared" si="3"/>
        <v>0</v>
      </c>
      <c r="AO3" s="114">
        <f t="shared" si="3"/>
        <v>0</v>
      </c>
      <c r="AP3" s="114">
        <f>SUMIF($C$8:$C$51,$C$3,AP$8:AP$51)</f>
        <v>0</v>
      </c>
      <c r="AQ3" s="135">
        <f>SUM(AE3:AP3)</f>
        <v>104006067</v>
      </c>
    </row>
    <row r="4" spans="1:43" s="27" customFormat="1">
      <c r="A4"/>
      <c r="B4" s="223"/>
      <c r="C4" s="115" t="s">
        <v>109</v>
      </c>
      <c r="D4" s="83" t="s">
        <v>156</v>
      </c>
      <c r="E4" s="84">
        <f t="shared" ref="E4:AB4" si="4">SUMIF($C$8:$C$51,$C$4,E$8:E$51)</f>
        <v>7690617</v>
      </c>
      <c r="F4" s="84">
        <f t="shared" si="4"/>
        <v>5902806</v>
      </c>
      <c r="G4" s="84">
        <f t="shared" si="4"/>
        <v>5134405</v>
      </c>
      <c r="H4" s="84">
        <f t="shared" si="4"/>
        <v>7452163</v>
      </c>
      <c r="I4" s="84">
        <f t="shared" si="4"/>
        <v>9764106</v>
      </c>
      <c r="J4" s="84">
        <f t="shared" si="4"/>
        <v>9155351</v>
      </c>
      <c r="K4" s="84">
        <f t="shared" si="4"/>
        <v>5511589</v>
      </c>
      <c r="L4" s="84">
        <f t="shared" si="4"/>
        <v>4252216</v>
      </c>
      <c r="M4" s="84">
        <f t="shared" si="4"/>
        <v>14761442</v>
      </c>
      <c r="N4" s="84">
        <f t="shared" si="4"/>
        <v>6873252</v>
      </c>
      <c r="O4" s="84">
        <f t="shared" si="4"/>
        <v>7465940</v>
      </c>
      <c r="P4" s="84">
        <f>SUMIF($C$8:$C$51,$C$4,P$8:P$51)</f>
        <v>7558463.4699999997</v>
      </c>
      <c r="Q4" s="136">
        <f>SUM(E4:P4)</f>
        <v>91522350.469999999</v>
      </c>
      <c r="R4" s="84">
        <f t="shared" si="4"/>
        <v>8384654</v>
      </c>
      <c r="S4" s="84">
        <f t="shared" si="4"/>
        <v>5081755</v>
      </c>
      <c r="T4" s="84">
        <f t="shared" si="4"/>
        <v>5508087</v>
      </c>
      <c r="U4" s="84">
        <f t="shared" si="4"/>
        <v>4873061</v>
      </c>
      <c r="V4" s="84">
        <f t="shared" si="4"/>
        <v>6328511</v>
      </c>
      <c r="W4" s="84">
        <f t="shared" si="4"/>
        <v>5137289</v>
      </c>
      <c r="X4" s="84">
        <f t="shared" si="4"/>
        <v>7155639</v>
      </c>
      <c r="Y4" s="84">
        <f t="shared" si="4"/>
        <v>5738978</v>
      </c>
      <c r="Z4" s="84">
        <f t="shared" si="4"/>
        <v>4849750</v>
      </c>
      <c r="AA4" s="84">
        <f t="shared" si="4"/>
        <v>3196334</v>
      </c>
      <c r="AB4" s="84">
        <f t="shared" si="4"/>
        <v>2664072</v>
      </c>
      <c r="AC4" s="84">
        <f>SUMIF($C$8:$C$51,$C$4,AC$8:AC$51)</f>
        <v>1734938</v>
      </c>
      <c r="AD4" s="136">
        <f>SUM(R4:AC4)</f>
        <v>60653068</v>
      </c>
      <c r="AE4" s="84">
        <f t="shared" ref="AE4:AO4" si="5">SUMIF($C$8:$C$51,$C$4,AE$8:AE$51)</f>
        <v>1224185</v>
      </c>
      <c r="AF4" s="84">
        <f t="shared" si="5"/>
        <v>870767</v>
      </c>
      <c r="AG4" s="84">
        <f t="shared" si="5"/>
        <v>505863</v>
      </c>
      <c r="AH4" s="84">
        <f t="shared" si="5"/>
        <v>511265</v>
      </c>
      <c r="AI4" s="84">
        <f t="shared" si="5"/>
        <v>797719</v>
      </c>
      <c r="AJ4" s="84">
        <f t="shared" si="5"/>
        <v>981849</v>
      </c>
      <c r="AK4" s="84">
        <f t="shared" si="5"/>
        <v>415103</v>
      </c>
      <c r="AL4" s="84">
        <f t="shared" si="5"/>
        <v>196465</v>
      </c>
      <c r="AM4" s="84">
        <f t="shared" si="5"/>
        <v>0</v>
      </c>
      <c r="AN4" s="84">
        <f t="shared" si="5"/>
        <v>0</v>
      </c>
      <c r="AO4" s="84">
        <f t="shared" si="5"/>
        <v>0</v>
      </c>
      <c r="AP4" s="84">
        <f>SUMIF($C$8:$C$51,$C$4,AP$8:AP$51)</f>
        <v>0</v>
      </c>
      <c r="AQ4" s="136">
        <f>SUM(AE4:AP4)</f>
        <v>5503216</v>
      </c>
    </row>
    <row r="5" spans="1:43" s="30" customFormat="1">
      <c r="A5"/>
      <c r="C5" s="116" t="s">
        <v>157</v>
      </c>
      <c r="D5" s="117" t="s">
        <v>156</v>
      </c>
      <c r="E5" s="118">
        <f>SUM(E2:E4)</f>
        <v>58350141</v>
      </c>
      <c r="F5" s="118">
        <f t="shared" ref="F5:P5" si="6">SUM(F2:F4)</f>
        <v>57189579</v>
      </c>
      <c r="G5" s="118">
        <f t="shared" si="6"/>
        <v>52089905</v>
      </c>
      <c r="H5" s="118">
        <f t="shared" si="6"/>
        <v>54705072</v>
      </c>
      <c r="I5" s="118">
        <f t="shared" si="6"/>
        <v>59417488</v>
      </c>
      <c r="J5" s="118">
        <f t="shared" si="6"/>
        <v>62382096</v>
      </c>
      <c r="K5" s="118">
        <f t="shared" si="6"/>
        <v>72396295</v>
      </c>
      <c r="L5" s="118">
        <f t="shared" si="6"/>
        <v>89117827</v>
      </c>
      <c r="M5" s="118">
        <f t="shared" si="6"/>
        <v>131232586</v>
      </c>
      <c r="N5" s="118">
        <f t="shared" si="6"/>
        <v>93627761</v>
      </c>
      <c r="O5" s="118">
        <f t="shared" si="6"/>
        <v>96551300</v>
      </c>
      <c r="P5" s="118">
        <f t="shared" si="6"/>
        <v>102613547.47</v>
      </c>
      <c r="Q5" s="138">
        <f>SUM(E5:P5)</f>
        <v>929673597.47000003</v>
      </c>
      <c r="R5" s="118">
        <f t="shared" ref="R5:AC5" si="7">SUM(R2:R4)</f>
        <v>106314088</v>
      </c>
      <c r="S5" s="118">
        <f t="shared" si="7"/>
        <v>77959804</v>
      </c>
      <c r="T5" s="118">
        <f t="shared" si="7"/>
        <v>86859548</v>
      </c>
      <c r="U5" s="118">
        <f t="shared" si="7"/>
        <v>78260169</v>
      </c>
      <c r="V5" s="118">
        <f t="shared" si="7"/>
        <v>89590238</v>
      </c>
      <c r="W5" s="118">
        <f t="shared" si="7"/>
        <v>74599720</v>
      </c>
      <c r="X5" s="118">
        <f t="shared" si="7"/>
        <v>76486862</v>
      </c>
      <c r="Y5" s="118">
        <f t="shared" si="7"/>
        <v>56265679</v>
      </c>
      <c r="Z5" s="118">
        <f t="shared" si="7"/>
        <v>57267723</v>
      </c>
      <c r="AA5" s="118">
        <f t="shared" si="7"/>
        <v>63368165</v>
      </c>
      <c r="AB5" s="118">
        <f t="shared" si="7"/>
        <v>53920035</v>
      </c>
      <c r="AC5" s="118">
        <f t="shared" si="7"/>
        <v>56418776</v>
      </c>
      <c r="AD5" s="138">
        <f>SUM(R5:AC5)</f>
        <v>877310807</v>
      </c>
      <c r="AE5" s="118">
        <f t="shared" ref="AE5:AP5" si="8">SUM(AE2:AE4)</f>
        <v>58489648</v>
      </c>
      <c r="AF5" s="118">
        <f t="shared" si="8"/>
        <v>67720941</v>
      </c>
      <c r="AG5" s="118">
        <f t="shared" si="8"/>
        <v>91485401</v>
      </c>
      <c r="AH5" s="118">
        <f t="shared" si="8"/>
        <v>75504453</v>
      </c>
      <c r="AI5" s="118">
        <f t="shared" si="8"/>
        <v>70416140</v>
      </c>
      <c r="AJ5" s="118">
        <f t="shared" si="8"/>
        <v>74878229</v>
      </c>
      <c r="AK5" s="118">
        <f t="shared" si="8"/>
        <v>85467846</v>
      </c>
      <c r="AL5" s="118">
        <f t="shared" si="8"/>
        <v>37901432</v>
      </c>
      <c r="AM5" s="118">
        <f t="shared" si="8"/>
        <v>0</v>
      </c>
      <c r="AN5" s="118">
        <f t="shared" si="8"/>
        <v>0</v>
      </c>
      <c r="AO5" s="118">
        <f t="shared" si="8"/>
        <v>0</v>
      </c>
      <c r="AP5" s="118">
        <f t="shared" si="8"/>
        <v>0</v>
      </c>
      <c r="AQ5" s="138">
        <f>SUM(AE5:AP5)</f>
        <v>561864090</v>
      </c>
    </row>
    <row r="6" spans="1:43" s="30" customFormat="1" ht="18" customHeight="1">
      <c r="A6"/>
      <c r="C6" s="80"/>
      <c r="D6" s="81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9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9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92"/>
    </row>
    <row r="7" spans="1:43" ht="25.5">
      <c r="A7"/>
      <c r="B7" s="132" t="s">
        <v>7</v>
      </c>
      <c r="C7" s="31" t="s">
        <v>81</v>
      </c>
      <c r="D7" s="31" t="s">
        <v>34</v>
      </c>
      <c r="E7" s="131">
        <v>44562</v>
      </c>
      <c r="F7" s="131">
        <v>44593</v>
      </c>
      <c r="G7" s="131">
        <v>44621</v>
      </c>
      <c r="H7" s="131">
        <v>44652</v>
      </c>
      <c r="I7" s="131">
        <v>44682</v>
      </c>
      <c r="J7" s="131">
        <v>44713</v>
      </c>
      <c r="K7" s="131">
        <v>44743</v>
      </c>
      <c r="L7" s="131">
        <v>44774</v>
      </c>
      <c r="M7" s="131">
        <v>44805</v>
      </c>
      <c r="N7" s="131">
        <v>44835</v>
      </c>
      <c r="O7" s="131">
        <v>44866</v>
      </c>
      <c r="P7" s="131">
        <v>44896</v>
      </c>
      <c r="Q7" s="91">
        <v>2022</v>
      </c>
      <c r="R7" s="131">
        <v>44927</v>
      </c>
      <c r="S7" s="131">
        <v>44958</v>
      </c>
      <c r="T7" s="131">
        <v>44986</v>
      </c>
      <c r="U7" s="131">
        <v>45017</v>
      </c>
      <c r="V7" s="131">
        <v>45047</v>
      </c>
      <c r="W7" s="131">
        <v>45078</v>
      </c>
      <c r="X7" s="131">
        <v>45108</v>
      </c>
      <c r="Y7" s="131">
        <v>45139</v>
      </c>
      <c r="Z7" s="131">
        <v>45170</v>
      </c>
      <c r="AA7" s="131">
        <v>45200</v>
      </c>
      <c r="AB7" s="131">
        <v>45231</v>
      </c>
      <c r="AC7" s="131">
        <v>45261</v>
      </c>
      <c r="AD7" s="91">
        <v>2023</v>
      </c>
      <c r="AE7" s="131">
        <v>45292</v>
      </c>
      <c r="AF7" s="131">
        <v>45323</v>
      </c>
      <c r="AG7" s="131">
        <v>45352</v>
      </c>
      <c r="AH7" s="131">
        <v>45383</v>
      </c>
      <c r="AI7" s="131">
        <v>45413</v>
      </c>
      <c r="AJ7" s="131">
        <v>45444</v>
      </c>
      <c r="AK7" s="131">
        <v>45474</v>
      </c>
      <c r="AL7" s="131">
        <v>45505</v>
      </c>
      <c r="AM7" s="131">
        <v>45536</v>
      </c>
      <c r="AN7" s="131">
        <v>45566</v>
      </c>
      <c r="AO7" s="131">
        <v>45597</v>
      </c>
      <c r="AP7" s="131">
        <v>45627</v>
      </c>
      <c r="AQ7" s="91">
        <v>2024</v>
      </c>
    </row>
    <row r="8" spans="1:43">
      <c r="A8" s="35"/>
      <c r="B8" s="33" t="s">
        <v>38</v>
      </c>
      <c r="C8" s="58" t="s">
        <v>108</v>
      </c>
      <c r="D8" s="33" t="s">
        <v>39</v>
      </c>
      <c r="E8" s="94">
        <f>'Basisdaten Reach'!B40</f>
        <v>11200000</v>
      </c>
      <c r="F8" s="94">
        <f>'Basisdaten Reach'!C40</f>
        <v>7800000</v>
      </c>
      <c r="G8" s="94">
        <f>'Basisdaten Reach'!D40</f>
        <v>7300000</v>
      </c>
      <c r="H8" s="94">
        <f>'Basisdaten Reach'!E40</f>
        <v>8100000</v>
      </c>
      <c r="I8" s="94">
        <f>'Basisdaten Reach'!F40</f>
        <v>7900000</v>
      </c>
      <c r="J8" s="94">
        <f>'Basisdaten Reach'!G40</f>
        <v>5500000</v>
      </c>
      <c r="K8" s="94">
        <f>'Basisdaten Reach'!H40</f>
        <v>7800000</v>
      </c>
      <c r="L8" s="94">
        <f>'Basisdaten Reach'!I40</f>
        <v>6400000</v>
      </c>
      <c r="M8" s="94">
        <f>'Basisdaten Reach'!J40</f>
        <v>9100000</v>
      </c>
      <c r="N8" s="94">
        <f>'Basisdaten Reach'!K40</f>
        <v>6900000</v>
      </c>
      <c r="O8" s="94">
        <f>'Basisdaten Reach'!L40</f>
        <v>4900000</v>
      </c>
      <c r="P8" s="94">
        <f>'Basisdaten Reach'!M40</f>
        <v>6800000</v>
      </c>
      <c r="Q8" s="99">
        <f>SUM(E8:O8)</f>
        <v>82900000</v>
      </c>
      <c r="R8" s="94">
        <f>'Basisdaten Reach'!O40</f>
        <v>7988075</v>
      </c>
      <c r="S8" s="94">
        <f>'Basisdaten Reach'!P40</f>
        <v>4234669</v>
      </c>
      <c r="T8" s="94">
        <f>'Basisdaten Reach'!Q40</f>
        <v>2802017</v>
      </c>
      <c r="U8" s="94">
        <f>'Basisdaten Reach'!R40</f>
        <v>2690972</v>
      </c>
      <c r="V8" s="94">
        <f>'Basisdaten Reach'!S40</f>
        <v>4434513</v>
      </c>
      <c r="W8" s="94">
        <f>'Basisdaten Reach'!T40</f>
        <v>3589861</v>
      </c>
      <c r="X8" s="94">
        <f>'Basisdaten Reach'!U40</f>
        <v>0</v>
      </c>
      <c r="Y8" s="94">
        <f>'Basisdaten Reach'!V40</f>
        <v>0</v>
      </c>
      <c r="Z8" s="94">
        <f>'Basisdaten Reach'!W40</f>
        <v>2041056</v>
      </c>
      <c r="AA8" s="94">
        <f>'Basisdaten Reach'!X40</f>
        <v>993383</v>
      </c>
      <c r="AB8" s="94">
        <f>'Basisdaten Reach'!Y40</f>
        <v>1359509</v>
      </c>
      <c r="AC8" s="94">
        <f>'Basisdaten Reach'!Z40</f>
        <v>1454753</v>
      </c>
      <c r="AD8" s="99">
        <f>SUM(R8:AB8)</f>
        <v>30134055</v>
      </c>
      <c r="AE8" s="94">
        <f>'Basisdaten Reach'!AB40</f>
        <v>527057</v>
      </c>
      <c r="AF8" s="94">
        <f>'Basisdaten Reach'!AC40</f>
        <v>600779</v>
      </c>
      <c r="AG8" s="94">
        <f>'Basisdaten Reach'!AD40</f>
        <v>331163</v>
      </c>
      <c r="AH8" s="94">
        <f>'Basisdaten Reach'!AE40</f>
        <v>380109</v>
      </c>
      <c r="AI8" s="94">
        <f>'Basisdaten Reach'!AF40</f>
        <v>413719</v>
      </c>
      <c r="AJ8" s="94">
        <f>'Basisdaten Reach'!AG40</f>
        <v>306694</v>
      </c>
      <c r="AK8" s="94">
        <f>'Basisdaten Reach'!AH40</f>
        <v>14056</v>
      </c>
      <c r="AL8" s="94">
        <f>'Basisdaten Reach'!AI40</f>
        <v>9912</v>
      </c>
      <c r="AM8" s="94">
        <f>'Basisdaten Reach'!AJ40</f>
        <v>0</v>
      </c>
      <c r="AN8" s="94">
        <f>'Basisdaten Reach'!AK40</f>
        <v>0</v>
      </c>
      <c r="AO8" s="94">
        <f>'Basisdaten Reach'!AL40</f>
        <v>0</v>
      </c>
      <c r="AP8" s="94">
        <f>'Basisdaten Reach'!AM40</f>
        <v>0</v>
      </c>
      <c r="AQ8" s="99">
        <f>SUM(AE8:AO8)</f>
        <v>2583489</v>
      </c>
    </row>
    <row r="9" spans="1:43">
      <c r="A9" s="35"/>
      <c r="B9" s="33" t="s">
        <v>38</v>
      </c>
      <c r="C9" s="59" t="s">
        <v>15</v>
      </c>
      <c r="D9" s="33" t="s">
        <v>39</v>
      </c>
      <c r="E9" s="94">
        <f>'Basisdaten Reach'!B41</f>
        <v>1000000</v>
      </c>
      <c r="F9" s="94">
        <f>'Basisdaten Reach'!C41</f>
        <v>648232</v>
      </c>
      <c r="G9" s="94">
        <f>'Basisdaten Reach'!D41</f>
        <v>452786</v>
      </c>
      <c r="H9" s="94">
        <f>'Basisdaten Reach'!E41</f>
        <v>345544</v>
      </c>
      <c r="I9" s="94">
        <f>'Basisdaten Reach'!F41</f>
        <v>841949</v>
      </c>
      <c r="J9" s="94">
        <f>'Basisdaten Reach'!G41</f>
        <v>10000000</v>
      </c>
      <c r="K9" s="94">
        <f>'Basisdaten Reach'!H41</f>
        <v>8300000</v>
      </c>
      <c r="L9" s="94">
        <f>'Basisdaten Reach'!I41</f>
        <v>3900000</v>
      </c>
      <c r="M9" s="94">
        <f>'Basisdaten Reach'!J41</f>
        <v>10100000</v>
      </c>
      <c r="N9" s="94">
        <f>'Basisdaten Reach'!K41</f>
        <v>3700000</v>
      </c>
      <c r="O9" s="94">
        <f>'Basisdaten Reach'!L41</f>
        <v>2800000</v>
      </c>
      <c r="P9" s="94">
        <f>'Basisdaten Reach'!M41</f>
        <v>3100000</v>
      </c>
      <c r="Q9" s="99">
        <f>SUM(E9:O9)</f>
        <v>42088511</v>
      </c>
      <c r="R9" s="94">
        <f>'Basisdaten Reach'!O41</f>
        <v>2948597</v>
      </c>
      <c r="S9" s="94">
        <f>'Basisdaten Reach'!P41</f>
        <v>1396044</v>
      </c>
      <c r="T9" s="94">
        <f>'Basisdaten Reach'!Q41</f>
        <v>1017609</v>
      </c>
      <c r="U9" s="94">
        <f>'Basisdaten Reach'!R41</f>
        <v>368374</v>
      </c>
      <c r="V9" s="94">
        <f>'Basisdaten Reach'!S41</f>
        <v>247535</v>
      </c>
      <c r="W9" s="94">
        <f>'Basisdaten Reach'!T41</f>
        <v>349511</v>
      </c>
      <c r="X9" s="94">
        <f>'Basisdaten Reach'!U41</f>
        <v>0</v>
      </c>
      <c r="Y9" s="94">
        <f>'Basisdaten Reach'!V41</f>
        <v>0</v>
      </c>
      <c r="Z9" s="94">
        <f>'Basisdaten Reach'!W41</f>
        <v>120016</v>
      </c>
      <c r="AA9" s="94">
        <f>'Basisdaten Reach'!X41</f>
        <v>91845</v>
      </c>
      <c r="AB9" s="94">
        <f>'Basisdaten Reach'!Y41</f>
        <v>165450</v>
      </c>
      <c r="AC9" s="94">
        <f>'Basisdaten Reach'!Z41</f>
        <v>121541</v>
      </c>
      <c r="AD9" s="99">
        <f>SUM(R9:AB9)</f>
        <v>6704981</v>
      </c>
      <c r="AE9" s="94">
        <f>'Basisdaten Reach'!AB41</f>
        <v>43250</v>
      </c>
      <c r="AF9" s="94">
        <f>'Basisdaten Reach'!AC41</f>
        <v>30539</v>
      </c>
      <c r="AG9" s="94">
        <f>'Basisdaten Reach'!AD41</f>
        <v>23843</v>
      </c>
      <c r="AH9" s="94">
        <f>'Basisdaten Reach'!AE41</f>
        <v>14271</v>
      </c>
      <c r="AI9" s="94">
        <f>'Basisdaten Reach'!AF41</f>
        <v>11149</v>
      </c>
      <c r="AJ9" s="94">
        <f>'Basisdaten Reach'!AG41</f>
        <v>9315</v>
      </c>
      <c r="AK9" s="94">
        <f>'Basisdaten Reach'!AH41</f>
        <v>5508</v>
      </c>
      <c r="AL9" s="94">
        <f>'Basisdaten Reach'!AI41</f>
        <v>5053</v>
      </c>
      <c r="AM9" s="94">
        <f>'Basisdaten Reach'!AJ41</f>
        <v>0</v>
      </c>
      <c r="AN9" s="94">
        <f>'Basisdaten Reach'!AK41</f>
        <v>0</v>
      </c>
      <c r="AO9" s="94">
        <f>'Basisdaten Reach'!AL41</f>
        <v>0</v>
      </c>
      <c r="AP9" s="94">
        <f>'Basisdaten Reach'!AM41</f>
        <v>0</v>
      </c>
      <c r="AQ9" s="99">
        <f>SUM(AE9:AO9)</f>
        <v>142928</v>
      </c>
    </row>
    <row r="10" spans="1:43">
      <c r="A10" s="35"/>
      <c r="B10" s="33" t="s">
        <v>38</v>
      </c>
      <c r="C10" s="59" t="s">
        <v>109</v>
      </c>
      <c r="D10" s="33" t="s">
        <v>39</v>
      </c>
      <c r="E10" s="94">
        <f>'Basisdaten Reach'!B42</f>
        <v>1600000</v>
      </c>
      <c r="F10" s="94">
        <f>'Basisdaten Reach'!C42</f>
        <v>455323</v>
      </c>
      <c r="G10" s="94">
        <f>'Basisdaten Reach'!D42</f>
        <v>330972</v>
      </c>
      <c r="H10" s="94">
        <f>'Basisdaten Reach'!E42</f>
        <v>688469</v>
      </c>
      <c r="I10" s="94">
        <f>'Basisdaten Reach'!F42</f>
        <v>650335</v>
      </c>
      <c r="J10" s="94">
        <f>'Basisdaten Reach'!G42</f>
        <v>385601</v>
      </c>
      <c r="K10" s="94">
        <f>'Basisdaten Reach'!H42</f>
        <v>103843</v>
      </c>
      <c r="L10" s="94">
        <f>'Basisdaten Reach'!I42</f>
        <v>59638</v>
      </c>
      <c r="M10" s="94">
        <f>'Basisdaten Reach'!J42</f>
        <v>161748</v>
      </c>
      <c r="N10" s="94">
        <f>'Basisdaten Reach'!K42</f>
        <v>62446</v>
      </c>
      <c r="O10" s="94">
        <f>'Basisdaten Reach'!L42</f>
        <v>55689</v>
      </c>
      <c r="P10" s="94">
        <f>'Basisdaten Reach'!M42</f>
        <v>16385</v>
      </c>
      <c r="Q10" s="99">
        <f>SUM(E10:O10)</f>
        <v>4554064</v>
      </c>
      <c r="R10" s="94">
        <f>'Basisdaten Reach'!O42</f>
        <v>159048</v>
      </c>
      <c r="S10" s="94">
        <f>'Basisdaten Reach'!P42</f>
        <v>74509</v>
      </c>
      <c r="T10" s="94">
        <f>'Basisdaten Reach'!Q42</f>
        <v>39264</v>
      </c>
      <c r="U10" s="94">
        <f>'Basisdaten Reach'!R42</f>
        <v>55711</v>
      </c>
      <c r="V10" s="94">
        <f>'Basisdaten Reach'!S42</f>
        <v>34302</v>
      </c>
      <c r="W10" s="94">
        <f>'Basisdaten Reach'!T42</f>
        <v>35942</v>
      </c>
      <c r="X10" s="94">
        <f>'Basisdaten Reach'!U42</f>
        <v>0</v>
      </c>
      <c r="Y10" s="94">
        <f>'Basisdaten Reach'!V42</f>
        <v>0</v>
      </c>
      <c r="Z10" s="94">
        <f>'Basisdaten Reach'!W42</f>
        <v>17292</v>
      </c>
      <c r="AA10" s="94">
        <f>'Basisdaten Reach'!X42</f>
        <v>15046</v>
      </c>
      <c r="AB10" s="94">
        <f>'Basisdaten Reach'!Y42</f>
        <v>57445</v>
      </c>
      <c r="AC10" s="94">
        <f>'Basisdaten Reach'!Z42</f>
        <v>40392</v>
      </c>
      <c r="AD10" s="99">
        <f>SUM(R10:AB10)</f>
        <v>488559</v>
      </c>
      <c r="AE10" s="94">
        <f>'Basisdaten Reach'!AB42</f>
        <v>8263</v>
      </c>
      <c r="AF10" s="94">
        <f>'Basisdaten Reach'!AC42</f>
        <v>13696</v>
      </c>
      <c r="AG10" s="94">
        <f>'Basisdaten Reach'!AD42</f>
        <v>13892</v>
      </c>
      <c r="AH10" s="94">
        <f>'Basisdaten Reach'!AE42</f>
        <v>7841</v>
      </c>
      <c r="AI10" s="94">
        <f>'Basisdaten Reach'!AF42</f>
        <v>4727</v>
      </c>
      <c r="AJ10" s="94">
        <f>'Basisdaten Reach'!AG42</f>
        <v>3192</v>
      </c>
      <c r="AK10" s="94">
        <f>'Basisdaten Reach'!AH42</f>
        <v>2086</v>
      </c>
      <c r="AL10" s="94">
        <f>'Basisdaten Reach'!AI42</f>
        <v>1051</v>
      </c>
      <c r="AM10" s="94">
        <f>'Basisdaten Reach'!AJ42</f>
        <v>0</v>
      </c>
      <c r="AN10" s="94">
        <f>'Basisdaten Reach'!AK42</f>
        <v>0</v>
      </c>
      <c r="AO10" s="94">
        <f>'Basisdaten Reach'!AL42</f>
        <v>0</v>
      </c>
      <c r="AP10" s="94">
        <f>'Basisdaten Reach'!AM42</f>
        <v>0</v>
      </c>
      <c r="AQ10" s="99">
        <f>SUM(AE10:AO10)</f>
        <v>54748</v>
      </c>
    </row>
    <row r="11" spans="1:43">
      <c r="A11" s="35"/>
      <c r="B11" s="127" t="s">
        <v>35</v>
      </c>
      <c r="C11" s="85" t="s">
        <v>108</v>
      </c>
      <c r="D11" s="88" t="s">
        <v>40</v>
      </c>
      <c r="E11" s="93">
        <f>'Basisdaten Reach'!B10</f>
        <v>9950126</v>
      </c>
      <c r="F11" s="93">
        <f>'Basisdaten Reach'!C10</f>
        <v>9900542</v>
      </c>
      <c r="G11" s="93">
        <f>'Basisdaten Reach'!D10</f>
        <v>7705481</v>
      </c>
      <c r="H11" s="93">
        <f>'Basisdaten Reach'!E10</f>
        <v>5094706</v>
      </c>
      <c r="I11" s="93">
        <f>'Basisdaten Reach'!F10</f>
        <v>5753434</v>
      </c>
      <c r="J11" s="93">
        <f>'Basisdaten Reach'!G10</f>
        <v>6641525</v>
      </c>
      <c r="K11" s="93">
        <f>'Basisdaten Reach'!H10</f>
        <v>8062770</v>
      </c>
      <c r="L11" s="93">
        <f>'Basisdaten Reach'!I10</f>
        <v>7456141</v>
      </c>
      <c r="M11" s="93">
        <f>'Basisdaten Reach'!J10</f>
        <v>10984201</v>
      </c>
      <c r="N11" s="93">
        <f>'Basisdaten Reach'!K10</f>
        <v>9438782</v>
      </c>
      <c r="O11" s="93">
        <f>'Basisdaten Reach'!L10</f>
        <v>7922624</v>
      </c>
      <c r="P11" s="93">
        <f>'Basisdaten Reach'!M10</f>
        <v>9142184</v>
      </c>
      <c r="Q11" s="98">
        <f t="shared" ref="Q11:Q40" si="9">SUM(E11:P11)</f>
        <v>98052516</v>
      </c>
      <c r="R11" s="93">
        <f>'Basisdaten Reach'!O10</f>
        <v>11548321</v>
      </c>
      <c r="S11" s="93">
        <f>'Basisdaten Reach'!P10</f>
        <v>11655358</v>
      </c>
      <c r="T11" s="93">
        <f>'Basisdaten Reach'!Q10</f>
        <v>15560827</v>
      </c>
      <c r="U11" s="93">
        <f>'Basisdaten Reach'!R10</f>
        <v>12100909</v>
      </c>
      <c r="V11" s="93">
        <f>'Basisdaten Reach'!S10</f>
        <v>10949585</v>
      </c>
      <c r="W11" s="93">
        <f>'Basisdaten Reach'!T10</f>
        <v>7621068</v>
      </c>
      <c r="X11" s="93">
        <f>'Basisdaten Reach'!U10</f>
        <v>7305115</v>
      </c>
      <c r="Y11" s="93">
        <f>'Basisdaten Reach'!V10</f>
        <v>7546737</v>
      </c>
      <c r="Z11" s="93">
        <f>'Basisdaten Reach'!W10</f>
        <v>5258843</v>
      </c>
      <c r="AA11" s="93">
        <f>'Basisdaten Reach'!X10</f>
        <v>5103856</v>
      </c>
      <c r="AB11" s="93">
        <f>'Basisdaten Reach'!Y10</f>
        <v>3914775</v>
      </c>
      <c r="AC11" s="93">
        <f>'Basisdaten Reach'!Z10</f>
        <v>3900664</v>
      </c>
      <c r="AD11" s="98">
        <f t="shared" ref="AD11:AD40" si="10">SUM(R11:AC11)</f>
        <v>102466058</v>
      </c>
      <c r="AE11" s="93">
        <f>'Basisdaten Reach'!AB10</f>
        <v>5810340</v>
      </c>
      <c r="AF11" s="93">
        <f>'Basisdaten Reach'!AC10</f>
        <v>5323939</v>
      </c>
      <c r="AG11" s="93">
        <f>'Basisdaten Reach'!AD10</f>
        <v>3481874</v>
      </c>
      <c r="AH11" s="93">
        <f>'Basisdaten Reach'!AE10</f>
        <v>3894625</v>
      </c>
      <c r="AI11" s="93">
        <f>'Basisdaten Reach'!AF10</f>
        <v>2897519</v>
      </c>
      <c r="AJ11" s="93">
        <f>'Basisdaten Reach'!AG10</f>
        <v>5827211</v>
      </c>
      <c r="AK11" s="93">
        <f>'Basisdaten Reach'!AH10</f>
        <v>6235216</v>
      </c>
      <c r="AL11" s="93">
        <f>'Basisdaten Reach'!AI10</f>
        <v>3833259</v>
      </c>
      <c r="AM11" s="93">
        <f>'Basisdaten Reach'!AJ10</f>
        <v>0</v>
      </c>
      <c r="AN11" s="93">
        <f>'Basisdaten Reach'!AK10</f>
        <v>0</v>
      </c>
      <c r="AO11" s="93">
        <f>'Basisdaten Reach'!AL10</f>
        <v>0</v>
      </c>
      <c r="AP11" s="93">
        <f>'Basisdaten Reach'!AM10</f>
        <v>0</v>
      </c>
      <c r="AQ11" s="98">
        <f t="shared" ref="AQ11:AQ40" si="11">SUM(AE11:AP11)</f>
        <v>37303983</v>
      </c>
    </row>
    <row r="12" spans="1:43">
      <c r="A12" s="35"/>
      <c r="B12" s="33" t="s">
        <v>36</v>
      </c>
      <c r="C12" s="59" t="s">
        <v>108</v>
      </c>
      <c r="D12" s="33" t="s">
        <v>40</v>
      </c>
      <c r="E12" s="94">
        <f>'Basisdaten Reach'!B21+'Basisdaten Reach'!B22</f>
        <v>17481600</v>
      </c>
      <c r="F12" s="94">
        <f>'Basisdaten Reach'!C21+'Basisdaten Reach'!C22</f>
        <v>22052843</v>
      </c>
      <c r="G12" s="94">
        <f>'Basisdaten Reach'!D21+'Basisdaten Reach'!D22</f>
        <v>19636276</v>
      </c>
      <c r="H12" s="94">
        <f>'Basisdaten Reach'!E21+'Basisdaten Reach'!E22</f>
        <v>17152142</v>
      </c>
      <c r="I12" s="94">
        <f>'Basisdaten Reach'!F21+'Basisdaten Reach'!F22</f>
        <v>16710617</v>
      </c>
      <c r="J12" s="94">
        <f>'Basisdaten Reach'!G21+'Basisdaten Reach'!G22</f>
        <v>14082449</v>
      </c>
      <c r="K12" s="94">
        <f>'Basisdaten Reach'!H21+'Basisdaten Reach'!H22</f>
        <v>18027918</v>
      </c>
      <c r="L12" s="94">
        <f>'Basisdaten Reach'!I21+'Basisdaten Reach'!I22</f>
        <v>15152674</v>
      </c>
      <c r="M12" s="94">
        <f>'Basisdaten Reach'!J21+'Basisdaten Reach'!J22</f>
        <v>20679374</v>
      </c>
      <c r="N12" s="94">
        <f>'Basisdaten Reach'!K21+'Basisdaten Reach'!K22</f>
        <v>18017408</v>
      </c>
      <c r="O12" s="94">
        <f>'Basisdaten Reach'!L21+'Basisdaten Reach'!L22</f>
        <v>18592770</v>
      </c>
      <c r="P12" s="94">
        <f>'Basisdaten Reach'!M21+'Basisdaten Reach'!M22</f>
        <v>17825746</v>
      </c>
      <c r="Q12" s="99">
        <f t="shared" si="9"/>
        <v>215411817</v>
      </c>
      <c r="R12" s="94">
        <f>'Basisdaten Reach'!O21+'Basisdaten Reach'!O22</f>
        <v>16711566</v>
      </c>
      <c r="S12" s="94">
        <f>'Basisdaten Reach'!P21+'Basisdaten Reach'!P22</f>
        <v>10651622</v>
      </c>
      <c r="T12" s="94">
        <f>'Basisdaten Reach'!Q21+'Basisdaten Reach'!Q22</f>
        <v>19062643</v>
      </c>
      <c r="U12" s="94">
        <f>'Basisdaten Reach'!R21+'Basisdaten Reach'!R22</f>
        <v>14819927</v>
      </c>
      <c r="V12" s="94">
        <f>'Basisdaten Reach'!S21+'Basisdaten Reach'!S22</f>
        <v>16358213</v>
      </c>
      <c r="W12" s="94">
        <f>'Basisdaten Reach'!T21+'Basisdaten Reach'!T22</f>
        <v>16347368</v>
      </c>
      <c r="X12" s="94">
        <f>'Basisdaten Reach'!U21+'Basisdaten Reach'!U22</f>
        <v>21379825</v>
      </c>
      <c r="Y12" s="94">
        <f>'Basisdaten Reach'!V21+'Basisdaten Reach'!V22</f>
        <v>17383121</v>
      </c>
      <c r="Z12" s="94">
        <f>'Basisdaten Reach'!W21+'Basisdaten Reach'!W22</f>
        <v>20472783</v>
      </c>
      <c r="AA12" s="94">
        <f>'Basisdaten Reach'!X21+'Basisdaten Reach'!X22</f>
        <v>31968794</v>
      </c>
      <c r="AB12" s="94">
        <f>'Basisdaten Reach'!Y21+'Basisdaten Reach'!Y22</f>
        <v>32070606</v>
      </c>
      <c r="AC12" s="94">
        <f>'Basisdaten Reach'!Z21+'Basisdaten Reach'!Z22</f>
        <v>34143372</v>
      </c>
      <c r="AD12" s="99">
        <f t="shared" si="10"/>
        <v>251369840</v>
      </c>
      <c r="AE12" s="94">
        <f>'Basisdaten Reach'!AB21+'Basisdaten Reach'!AB22</f>
        <v>33022404</v>
      </c>
      <c r="AF12" s="94">
        <f>'Basisdaten Reach'!AC21+'Basisdaten Reach'!AC22</f>
        <v>44793453</v>
      </c>
      <c r="AG12" s="94">
        <f>'Basisdaten Reach'!AD21+'Basisdaten Reach'!AD22</f>
        <v>67599561</v>
      </c>
      <c r="AH12" s="94">
        <f>'Basisdaten Reach'!AE21+'Basisdaten Reach'!AE22</f>
        <v>51759826</v>
      </c>
      <c r="AI12" s="94">
        <f>'Basisdaten Reach'!AF21+'Basisdaten Reach'!AF22</f>
        <v>34612947</v>
      </c>
      <c r="AJ12" s="94">
        <f>'Basisdaten Reach'!AG21+'Basisdaten Reach'!AG22</f>
        <v>34006095</v>
      </c>
      <c r="AK12" s="94">
        <f>'Basisdaten Reach'!AH21+'Basisdaten Reach'!AH22</f>
        <v>38014581</v>
      </c>
      <c r="AL12" s="94">
        <f>'Basisdaten Reach'!AI21+'Basisdaten Reach'!AI22</f>
        <v>28006570</v>
      </c>
      <c r="AM12" s="94">
        <f>'Basisdaten Reach'!AJ21+'Basisdaten Reach'!AJ22</f>
        <v>0</v>
      </c>
      <c r="AN12" s="94">
        <f>'Basisdaten Reach'!AK21+'Basisdaten Reach'!AK22</f>
        <v>0</v>
      </c>
      <c r="AO12" s="94">
        <f>'Basisdaten Reach'!AL21+'Basisdaten Reach'!AL22</f>
        <v>0</v>
      </c>
      <c r="AP12" s="94">
        <f>'Basisdaten Reach'!AM21+'Basisdaten Reach'!AM22</f>
        <v>0</v>
      </c>
      <c r="AQ12" s="99">
        <f t="shared" si="11"/>
        <v>331815437</v>
      </c>
    </row>
    <row r="13" spans="1:43">
      <c r="A13" s="35"/>
      <c r="B13" s="63" t="s">
        <v>36</v>
      </c>
      <c r="C13" s="59" t="s">
        <v>15</v>
      </c>
      <c r="D13" s="63" t="s">
        <v>40</v>
      </c>
      <c r="E13" s="94">
        <f>'Basisdaten Reach'!B24+'Basisdaten Reach'!B23</f>
        <v>144214</v>
      </c>
      <c r="F13" s="94">
        <f>'Basisdaten Reach'!C24+'Basisdaten Reach'!C23</f>
        <v>89433</v>
      </c>
      <c r="G13" s="94">
        <f>'Basisdaten Reach'!D24+'Basisdaten Reach'!D23</f>
        <v>119458</v>
      </c>
      <c r="H13" s="94">
        <f>'Basisdaten Reach'!E24+'Basisdaten Reach'!E23</f>
        <v>237427</v>
      </c>
      <c r="I13" s="94">
        <f>'Basisdaten Reach'!F24+'Basisdaten Reach'!F23</f>
        <v>2240130</v>
      </c>
      <c r="J13" s="94">
        <f>'Basisdaten Reach'!G24+'Basisdaten Reach'!G23</f>
        <v>977234</v>
      </c>
      <c r="K13" s="94">
        <f>'Basisdaten Reach'!H24+'Basisdaten Reach'!H23</f>
        <v>1831530</v>
      </c>
      <c r="L13" s="94">
        <f>'Basisdaten Reach'!I24+'Basisdaten Reach'!I23</f>
        <v>2179128</v>
      </c>
      <c r="M13" s="94">
        <f>'Basisdaten Reach'!J24+'Basisdaten Reach'!J23</f>
        <v>4008614</v>
      </c>
      <c r="N13" s="94">
        <f>'Basisdaten Reach'!K24+'Basisdaten Reach'!K23</f>
        <v>2053522</v>
      </c>
      <c r="O13" s="94">
        <f>'Basisdaten Reach'!L24+'Basisdaten Reach'!L23</f>
        <v>9453377</v>
      </c>
      <c r="P13" s="94">
        <f>'Basisdaten Reach'!M24+'Basisdaten Reach'!M23</f>
        <v>13234282</v>
      </c>
      <c r="Q13" s="99">
        <f t="shared" si="9"/>
        <v>36568349</v>
      </c>
      <c r="R13" s="94">
        <f>'Basisdaten Reach'!O24+'Basisdaten Reach'!O23</f>
        <v>10189040</v>
      </c>
      <c r="S13" s="94">
        <f>'Basisdaten Reach'!P24+'Basisdaten Reach'!P23</f>
        <v>6985617</v>
      </c>
      <c r="T13" s="94">
        <f>'Basisdaten Reach'!Q24+'Basisdaten Reach'!Q23</f>
        <v>7848075</v>
      </c>
      <c r="U13" s="94">
        <f>'Basisdaten Reach'!R24+'Basisdaten Reach'!R23</f>
        <v>7372220</v>
      </c>
      <c r="V13" s="94">
        <f>'Basisdaten Reach'!S24+'Basisdaten Reach'!S23</f>
        <v>3112307</v>
      </c>
      <c r="W13" s="94">
        <f>'Basisdaten Reach'!T24+'Basisdaten Reach'!T23</f>
        <v>4574374</v>
      </c>
      <c r="X13" s="94">
        <f>'Basisdaten Reach'!U24+'Basisdaten Reach'!U23</f>
        <v>4720951</v>
      </c>
      <c r="Y13" s="94">
        <f>'Basisdaten Reach'!V24+'Basisdaten Reach'!V23</f>
        <v>2429348</v>
      </c>
      <c r="Z13" s="94">
        <f>'Basisdaten Reach'!W24+'Basisdaten Reach'!W23</f>
        <v>3314102</v>
      </c>
      <c r="AA13" s="94">
        <f>'Basisdaten Reach'!X24+'Basisdaten Reach'!X23</f>
        <v>3579029</v>
      </c>
      <c r="AB13" s="94">
        <f>'Basisdaten Reach'!Y24+'Basisdaten Reach'!Y23</f>
        <v>990068</v>
      </c>
      <c r="AC13" s="94">
        <f>'Basisdaten Reach'!Z24+'Basisdaten Reach'!Z23</f>
        <v>1114919</v>
      </c>
      <c r="AD13" s="99">
        <f t="shared" si="10"/>
        <v>56230050</v>
      </c>
      <c r="AE13" s="94">
        <f>'Basisdaten Reach'!AB24+'Basisdaten Reach'!AB23</f>
        <v>834686</v>
      </c>
      <c r="AF13" s="94">
        <f>'Basisdaten Reach'!AC24+'Basisdaten Reach'!AC23</f>
        <v>1404082</v>
      </c>
      <c r="AG13" s="94">
        <f>'Basisdaten Reach'!AD24+'Basisdaten Reach'!AD23</f>
        <v>2268536</v>
      </c>
      <c r="AH13" s="94">
        <f>'Basisdaten Reach'!AE24+'Basisdaten Reach'!AE23</f>
        <v>2312857</v>
      </c>
      <c r="AI13" s="94">
        <f>'Basisdaten Reach'!AF24+'Basisdaten Reach'!AF23</f>
        <v>3837873</v>
      </c>
      <c r="AJ13" s="94">
        <f>'Basisdaten Reach'!AG24+'Basisdaten Reach'!AG23</f>
        <v>4534213</v>
      </c>
      <c r="AK13" s="94">
        <f>'Basisdaten Reach'!AH24+'Basisdaten Reach'!AH23</f>
        <v>3073162</v>
      </c>
      <c r="AL13" s="94">
        <f>'Basisdaten Reach'!AI24+'Basisdaten Reach'!AI23</f>
        <v>993089</v>
      </c>
      <c r="AM13" s="94">
        <f>'Basisdaten Reach'!AJ24+'Basisdaten Reach'!AJ23</f>
        <v>0</v>
      </c>
      <c r="AN13" s="94">
        <f>'Basisdaten Reach'!AK24+'Basisdaten Reach'!AK23</f>
        <v>0</v>
      </c>
      <c r="AO13" s="94">
        <f>'Basisdaten Reach'!AL24+'Basisdaten Reach'!AL23</f>
        <v>0</v>
      </c>
      <c r="AP13" s="94">
        <f>'Basisdaten Reach'!AM24+'Basisdaten Reach'!AM23</f>
        <v>0</v>
      </c>
      <c r="AQ13" s="99">
        <f t="shared" si="11"/>
        <v>19258498</v>
      </c>
    </row>
    <row r="14" spans="1:43">
      <c r="A14" s="35"/>
      <c r="B14" s="63" t="s">
        <v>36</v>
      </c>
      <c r="C14" s="184" t="s">
        <v>227</v>
      </c>
      <c r="D14" s="183" t="s">
        <v>40</v>
      </c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99">
        <f t="shared" si="9"/>
        <v>0</v>
      </c>
      <c r="R14" s="185">
        <f>'Basisdaten Reach'!O25+'Basisdaten Reach'!O26</f>
        <v>0</v>
      </c>
      <c r="S14" s="185">
        <f>'Basisdaten Reach'!P25+'Basisdaten Reach'!P26</f>
        <v>0</v>
      </c>
      <c r="T14" s="185">
        <f>'Basisdaten Reach'!Q25+'Basisdaten Reach'!Q26</f>
        <v>0</v>
      </c>
      <c r="U14" s="185">
        <f>'Basisdaten Reach'!R25+'Basisdaten Reach'!R26</f>
        <v>0</v>
      </c>
      <c r="V14" s="185">
        <f>'Basisdaten Reach'!S25+'Basisdaten Reach'!S26</f>
        <v>0</v>
      </c>
      <c r="W14" s="185">
        <f>'Basisdaten Reach'!T25+'Basisdaten Reach'!T26</f>
        <v>0</v>
      </c>
      <c r="X14" s="185">
        <f>'Basisdaten Reach'!U25+'Basisdaten Reach'!U26</f>
        <v>1547872</v>
      </c>
      <c r="Y14" s="185">
        <f>'Basisdaten Reach'!V25+'Basisdaten Reach'!V26</f>
        <v>1216276</v>
      </c>
      <c r="Z14" s="185">
        <f>'Basisdaten Reach'!W25+'Basisdaten Reach'!W26</f>
        <v>817979</v>
      </c>
      <c r="AA14" s="185">
        <f>'Basisdaten Reach'!X25+'Basisdaten Reach'!X26</f>
        <v>530015</v>
      </c>
      <c r="AB14" s="185">
        <f>'Basisdaten Reach'!Y25+'Basisdaten Reach'!Y26</f>
        <v>906824</v>
      </c>
      <c r="AC14" s="185">
        <f>'Basisdaten Reach'!Z25+'Basisdaten Reach'!Z26</f>
        <v>1005070</v>
      </c>
      <c r="AD14" s="99">
        <f t="shared" si="10"/>
        <v>6024036</v>
      </c>
      <c r="AE14" s="185">
        <f>'Basisdaten Reach'!AB25+'Basisdaten Reach'!AB26</f>
        <v>1434099</v>
      </c>
      <c r="AF14" s="185">
        <f>'Basisdaten Reach'!AC25+'Basisdaten Reach'!AC26</f>
        <v>1453997</v>
      </c>
      <c r="AG14" s="185">
        <f>'Basisdaten Reach'!AD25+'Basisdaten Reach'!AD26</f>
        <v>1558910</v>
      </c>
      <c r="AH14" s="185">
        <f>'Basisdaten Reach'!AE25+'Basisdaten Reach'!AE26</f>
        <v>1614801</v>
      </c>
      <c r="AI14" s="185">
        <f>'Basisdaten Reach'!AF25+'Basisdaten Reach'!AF26</f>
        <v>1790578</v>
      </c>
      <c r="AJ14" s="185">
        <f>'Basisdaten Reach'!AG25+'Basisdaten Reach'!AG26</f>
        <v>3115789</v>
      </c>
      <c r="AK14" s="185">
        <f>'Basisdaten Reach'!AH25+'Basisdaten Reach'!AH26</f>
        <v>2551759</v>
      </c>
      <c r="AL14" s="185">
        <f>'Basisdaten Reach'!AI25+'Basisdaten Reach'!AI26</f>
        <v>1739501</v>
      </c>
      <c r="AM14" s="185">
        <f>'Basisdaten Reach'!AJ25+'Basisdaten Reach'!AJ26</f>
        <v>0</v>
      </c>
      <c r="AN14" s="185">
        <f>'Basisdaten Reach'!AK25+'Basisdaten Reach'!AK26</f>
        <v>0</v>
      </c>
      <c r="AO14" s="185">
        <f>'Basisdaten Reach'!AL25+'Basisdaten Reach'!AL26</f>
        <v>0</v>
      </c>
      <c r="AP14" s="185">
        <f>'Basisdaten Reach'!AM25+'Basisdaten Reach'!AM26</f>
        <v>0</v>
      </c>
      <c r="AQ14" s="99">
        <f t="shared" si="11"/>
        <v>15259434</v>
      </c>
    </row>
    <row r="15" spans="1:43">
      <c r="A15" s="35"/>
      <c r="B15" s="63" t="s">
        <v>36</v>
      </c>
      <c r="C15" s="59" t="s">
        <v>109</v>
      </c>
      <c r="D15" s="63" t="s">
        <v>40</v>
      </c>
      <c r="E15" s="94">
        <f>'Basisdaten Reach'!B28+'Basisdaten Reach'!B27</f>
        <v>0</v>
      </c>
      <c r="F15" s="94">
        <f>'Basisdaten Reach'!C28+'Basisdaten Reach'!C27</f>
        <v>0</v>
      </c>
      <c r="G15" s="94">
        <f>'Basisdaten Reach'!D28+'Basisdaten Reach'!D27</f>
        <v>0</v>
      </c>
      <c r="H15" s="94">
        <f>'Basisdaten Reach'!E28+'Basisdaten Reach'!E27</f>
        <v>0</v>
      </c>
      <c r="I15" s="94">
        <f>'Basisdaten Reach'!F28+'Basisdaten Reach'!F27</f>
        <v>0</v>
      </c>
      <c r="J15" s="94">
        <f>'Basisdaten Reach'!G28+'Basisdaten Reach'!G27</f>
        <v>0</v>
      </c>
      <c r="K15" s="94">
        <f>'Basisdaten Reach'!H28+'Basisdaten Reach'!H27</f>
        <v>0</v>
      </c>
      <c r="L15" s="94">
        <f>'Basisdaten Reach'!I28+'Basisdaten Reach'!I27</f>
        <v>0</v>
      </c>
      <c r="M15" s="94">
        <f>'Basisdaten Reach'!J28+'Basisdaten Reach'!J27</f>
        <v>0</v>
      </c>
      <c r="N15" s="94">
        <f>'Basisdaten Reach'!K28+'Basisdaten Reach'!K27</f>
        <v>0</v>
      </c>
      <c r="O15" s="94">
        <f>'Basisdaten Reach'!L28+'Basisdaten Reach'!L27</f>
        <v>0</v>
      </c>
      <c r="P15" s="94">
        <f>'Basisdaten Reach'!M28+'Basisdaten Reach'!M27</f>
        <v>0</v>
      </c>
      <c r="Q15" s="99">
        <f t="shared" si="9"/>
        <v>0</v>
      </c>
      <c r="R15" s="94">
        <f>'Basisdaten Reach'!O28+'Basisdaten Reach'!O27</f>
        <v>865117</v>
      </c>
      <c r="S15" s="94">
        <f>'Basisdaten Reach'!P28+'Basisdaten Reach'!P27</f>
        <v>1063874</v>
      </c>
      <c r="T15" s="94">
        <f>'Basisdaten Reach'!Q28+'Basisdaten Reach'!Q27</f>
        <v>975711</v>
      </c>
      <c r="U15" s="94">
        <f>'Basisdaten Reach'!R28+'Basisdaten Reach'!R27</f>
        <v>604190</v>
      </c>
      <c r="V15" s="94">
        <f>'Basisdaten Reach'!S28+'Basisdaten Reach'!S27</f>
        <v>836353</v>
      </c>
      <c r="W15" s="94">
        <f>'Basisdaten Reach'!T28+'Basisdaten Reach'!T27</f>
        <v>533609</v>
      </c>
      <c r="X15" s="94">
        <f>'Basisdaten Reach'!U28+'Basisdaten Reach'!U27</f>
        <v>1226416</v>
      </c>
      <c r="Y15" s="94">
        <f>'Basisdaten Reach'!V28+'Basisdaten Reach'!V27</f>
        <v>1182127</v>
      </c>
      <c r="Z15" s="94">
        <f>'Basisdaten Reach'!W28+'Basisdaten Reach'!W27</f>
        <v>913252</v>
      </c>
      <c r="AA15" s="94">
        <f>'Basisdaten Reach'!X28+'Basisdaten Reach'!X27</f>
        <v>729202</v>
      </c>
      <c r="AB15" s="94">
        <f>'Basisdaten Reach'!Y28+'Basisdaten Reach'!Y27</f>
        <v>120396</v>
      </c>
      <c r="AC15" s="94">
        <f>'Basisdaten Reach'!Z28+'Basisdaten Reach'!Z27</f>
        <v>213017</v>
      </c>
      <c r="AD15" s="99">
        <f t="shared" si="10"/>
        <v>9263264</v>
      </c>
      <c r="AE15" s="94">
        <f>'Basisdaten Reach'!AB28+'Basisdaten Reach'!AB27</f>
        <v>55761</v>
      </c>
      <c r="AF15" s="94">
        <f>'Basisdaten Reach'!AC28+'Basisdaten Reach'!AC27</f>
        <v>6914</v>
      </c>
      <c r="AG15" s="94">
        <f>'Basisdaten Reach'!AD28+'Basisdaten Reach'!AD27</f>
        <v>29016</v>
      </c>
      <c r="AH15" s="94">
        <f>'Basisdaten Reach'!AE28+'Basisdaten Reach'!AE27</f>
        <v>0</v>
      </c>
      <c r="AI15" s="94">
        <f>'Basisdaten Reach'!AF28+'Basisdaten Reach'!AF27</f>
        <v>0</v>
      </c>
      <c r="AJ15" s="94">
        <f>'Basisdaten Reach'!AG28+'Basisdaten Reach'!AG27</f>
        <v>0</v>
      </c>
      <c r="AK15" s="94">
        <f>'Basisdaten Reach'!AH28+'Basisdaten Reach'!AH27</f>
        <v>0</v>
      </c>
      <c r="AL15" s="94">
        <f>'Basisdaten Reach'!AI28+'Basisdaten Reach'!AI27</f>
        <v>0</v>
      </c>
      <c r="AM15" s="94">
        <f>'Basisdaten Reach'!AJ28+'Basisdaten Reach'!AJ27</f>
        <v>0</v>
      </c>
      <c r="AN15" s="94">
        <f>'Basisdaten Reach'!AK28+'Basisdaten Reach'!AK27</f>
        <v>0</v>
      </c>
      <c r="AO15" s="94">
        <f>'Basisdaten Reach'!AL28+'Basisdaten Reach'!AL27</f>
        <v>0</v>
      </c>
      <c r="AP15" s="94">
        <f>'Basisdaten Reach'!AM28+'Basisdaten Reach'!AM27</f>
        <v>0</v>
      </c>
      <c r="AQ15" s="99">
        <f t="shared" si="11"/>
        <v>91691</v>
      </c>
    </row>
    <row r="16" spans="1:43">
      <c r="A16" s="35"/>
      <c r="B16" s="86" t="s">
        <v>43</v>
      </c>
      <c r="C16" s="85" t="s">
        <v>108</v>
      </c>
      <c r="D16" s="86" t="s">
        <v>40</v>
      </c>
      <c r="E16" s="93">
        <f>'Basisdaten Reach'!B62</f>
        <v>0</v>
      </c>
      <c r="F16" s="93">
        <f>'Basisdaten Reach'!C62</f>
        <v>309106</v>
      </c>
      <c r="G16" s="93">
        <f>'Basisdaten Reach'!D62</f>
        <v>769543</v>
      </c>
      <c r="H16" s="93">
        <f>'Basisdaten Reach'!E62</f>
        <v>1024715</v>
      </c>
      <c r="I16" s="93">
        <f>'Basisdaten Reach'!F62</f>
        <v>1092279</v>
      </c>
      <c r="J16" s="93">
        <f>'Basisdaten Reach'!G62</f>
        <v>1036774</v>
      </c>
      <c r="K16" s="93">
        <f>'Basisdaten Reach'!H62</f>
        <v>1057573</v>
      </c>
      <c r="L16" s="93">
        <f>'Basisdaten Reach'!I62</f>
        <v>1308579</v>
      </c>
      <c r="M16" s="93">
        <f>'Basisdaten Reach'!J62</f>
        <v>1353970</v>
      </c>
      <c r="N16" s="93">
        <f>'Basisdaten Reach'!K62</f>
        <v>1327869</v>
      </c>
      <c r="O16" s="93">
        <f>'Basisdaten Reach'!L62</f>
        <v>1342113</v>
      </c>
      <c r="P16" s="93">
        <f>'Basisdaten Reach'!M62</f>
        <v>1636933</v>
      </c>
      <c r="Q16" s="98">
        <f t="shared" si="9"/>
        <v>12259454</v>
      </c>
      <c r="R16" s="93">
        <f>'Basisdaten Reach'!O62</f>
        <v>662501</v>
      </c>
      <c r="S16" s="93">
        <f>'Basisdaten Reach'!P62</f>
        <v>31832</v>
      </c>
      <c r="T16" s="93">
        <f>'Basisdaten Reach'!Q62</f>
        <v>91028</v>
      </c>
      <c r="U16" s="93">
        <f>'Basisdaten Reach'!R62</f>
        <v>134112</v>
      </c>
      <c r="V16" s="93">
        <f>'Basisdaten Reach'!S62</f>
        <v>64859</v>
      </c>
      <c r="W16" s="93">
        <f>'Basisdaten Reach'!T62</f>
        <v>72773</v>
      </c>
      <c r="X16" s="93">
        <f>'Basisdaten Reach'!U62</f>
        <v>0</v>
      </c>
      <c r="Y16" s="93">
        <f>'Basisdaten Reach'!V62</f>
        <v>0</v>
      </c>
      <c r="Z16" s="93">
        <f>'Basisdaten Reach'!W62</f>
        <v>0</v>
      </c>
      <c r="AA16" s="93">
        <f>'Basisdaten Reach'!X62</f>
        <v>0</v>
      </c>
      <c r="AB16" s="93">
        <f>'Basisdaten Reach'!Y62</f>
        <v>0</v>
      </c>
      <c r="AC16" s="93">
        <f>'Basisdaten Reach'!Z62</f>
        <v>0</v>
      </c>
      <c r="AD16" s="98">
        <f t="shared" si="10"/>
        <v>1057105</v>
      </c>
      <c r="AE16" s="93">
        <f>'Basisdaten Reach'!AB62</f>
        <v>0</v>
      </c>
      <c r="AF16" s="93">
        <f>'Basisdaten Reach'!AC62</f>
        <v>0</v>
      </c>
      <c r="AG16" s="93">
        <f>'Basisdaten Reach'!AD62</f>
        <v>0</v>
      </c>
      <c r="AH16" s="93">
        <f>'Basisdaten Reach'!AE62</f>
        <v>0</v>
      </c>
      <c r="AI16" s="93">
        <f>'Basisdaten Reach'!AF62</f>
        <v>0</v>
      </c>
      <c r="AJ16" s="93">
        <f>'Basisdaten Reach'!AG62</f>
        <v>0</v>
      </c>
      <c r="AK16" s="93">
        <f>'Basisdaten Reach'!AH62</f>
        <v>0</v>
      </c>
      <c r="AL16" s="93">
        <f>'Basisdaten Reach'!AI62</f>
        <v>0</v>
      </c>
      <c r="AM16" s="93">
        <f>'Basisdaten Reach'!AJ62</f>
        <v>0</v>
      </c>
      <c r="AN16" s="93">
        <f>'Basisdaten Reach'!AK62</f>
        <v>0</v>
      </c>
      <c r="AO16" s="93">
        <f>'Basisdaten Reach'!AL62</f>
        <v>0</v>
      </c>
      <c r="AP16" s="93">
        <f>'Basisdaten Reach'!AM62</f>
        <v>0</v>
      </c>
      <c r="AQ16" s="98">
        <f t="shared" si="11"/>
        <v>0</v>
      </c>
    </row>
    <row r="17" spans="1:43">
      <c r="A17" s="35"/>
      <c r="B17" s="33" t="s">
        <v>42</v>
      </c>
      <c r="C17" s="59" t="s">
        <v>108</v>
      </c>
      <c r="D17" s="33" t="s">
        <v>40</v>
      </c>
      <c r="E17" s="94">
        <f>'Basisdaten Reach'!B61</f>
        <v>429102</v>
      </c>
      <c r="F17" s="94">
        <f>'Basisdaten Reach'!C61</f>
        <v>0</v>
      </c>
      <c r="G17" s="94">
        <f>'Basisdaten Reach'!D61</f>
        <v>0</v>
      </c>
      <c r="H17" s="94">
        <f>'Basisdaten Reach'!E61</f>
        <v>828245</v>
      </c>
      <c r="I17" s="94">
        <f>'Basisdaten Reach'!F61</f>
        <v>0</v>
      </c>
      <c r="J17" s="94">
        <f>'Basisdaten Reach'!G61</f>
        <v>0</v>
      </c>
      <c r="K17" s="94">
        <f>'Basisdaten Reach'!H61</f>
        <v>345177</v>
      </c>
      <c r="L17" s="94">
        <f>'Basisdaten Reach'!I61</f>
        <v>421431</v>
      </c>
      <c r="M17" s="94">
        <f>'Basisdaten Reach'!J61</f>
        <v>786689</v>
      </c>
      <c r="N17" s="94">
        <f>'Basisdaten Reach'!K61</f>
        <v>1580015</v>
      </c>
      <c r="O17" s="94">
        <f>'Basisdaten Reach'!L61</f>
        <v>199500</v>
      </c>
      <c r="P17" s="94">
        <f>'Basisdaten Reach'!M61</f>
        <v>589432</v>
      </c>
      <c r="Q17" s="99">
        <f t="shared" si="9"/>
        <v>5179591</v>
      </c>
      <c r="R17" s="94">
        <f>'Basisdaten Reach'!O61</f>
        <v>569843</v>
      </c>
      <c r="S17" s="94">
        <f>'Basisdaten Reach'!P61</f>
        <v>1026711</v>
      </c>
      <c r="T17" s="94">
        <f>'Basisdaten Reach'!Q61</f>
        <v>492558</v>
      </c>
      <c r="U17" s="94">
        <f>'Basisdaten Reach'!R61</f>
        <v>984964</v>
      </c>
      <c r="V17" s="94">
        <f>'Basisdaten Reach'!S61</f>
        <v>310067</v>
      </c>
      <c r="W17" s="94">
        <f>'Basisdaten Reach'!T61</f>
        <v>250808</v>
      </c>
      <c r="X17" s="94">
        <f>'Basisdaten Reach'!U61</f>
        <v>148145</v>
      </c>
      <c r="Y17" s="94">
        <f>'Basisdaten Reach'!V61</f>
        <v>169397</v>
      </c>
      <c r="Z17" s="94">
        <f>'Basisdaten Reach'!W61</f>
        <v>484884</v>
      </c>
      <c r="AA17" s="94">
        <f>'Basisdaten Reach'!X61</f>
        <v>375778</v>
      </c>
      <c r="AB17" s="94">
        <f>'Basisdaten Reach'!Y61</f>
        <v>211575</v>
      </c>
      <c r="AC17" s="94">
        <f>'Basisdaten Reach'!Z61</f>
        <v>248398</v>
      </c>
      <c r="AD17" s="99">
        <f t="shared" si="10"/>
        <v>5273128</v>
      </c>
      <c r="AE17" s="94">
        <f>'Basisdaten Reach'!AB61</f>
        <v>1803532</v>
      </c>
      <c r="AF17" s="94">
        <f>'Basisdaten Reach'!AC61</f>
        <v>1260613</v>
      </c>
      <c r="AG17" s="94">
        <f>'Basisdaten Reach'!AD61</f>
        <v>683285</v>
      </c>
      <c r="AH17" s="94">
        <f>'Basisdaten Reach'!AE61</f>
        <v>511532</v>
      </c>
      <c r="AI17" s="94">
        <f>'Basisdaten Reach'!AF61</f>
        <v>296270</v>
      </c>
      <c r="AJ17" s="94">
        <f>'Basisdaten Reach'!AG61</f>
        <v>327786</v>
      </c>
      <c r="AK17" s="94">
        <f>'Basisdaten Reach'!AH61</f>
        <v>2487984</v>
      </c>
      <c r="AL17" s="94">
        <f>'Basisdaten Reach'!AI61</f>
        <v>1031274</v>
      </c>
      <c r="AM17" s="94">
        <f>'Basisdaten Reach'!AJ61</f>
        <v>0</v>
      </c>
      <c r="AN17" s="94">
        <f>'Basisdaten Reach'!AK61</f>
        <v>0</v>
      </c>
      <c r="AO17" s="94">
        <f>'Basisdaten Reach'!AL61</f>
        <v>0</v>
      </c>
      <c r="AP17" s="94">
        <f>'Basisdaten Reach'!AM61</f>
        <v>0</v>
      </c>
      <c r="AQ17" s="99">
        <f t="shared" si="11"/>
        <v>8402276</v>
      </c>
    </row>
    <row r="18" spans="1:43">
      <c r="A18" s="35"/>
      <c r="B18" s="128" t="s">
        <v>25</v>
      </c>
      <c r="C18" s="85" t="s">
        <v>108</v>
      </c>
      <c r="D18" s="86" t="s">
        <v>40</v>
      </c>
      <c r="E18" s="93">
        <f>'Basisdaten Reach'!B67</f>
        <v>214310</v>
      </c>
      <c r="F18" s="93">
        <f>'Basisdaten Reach'!C67</f>
        <v>208716</v>
      </c>
      <c r="G18" s="93">
        <f>'Basisdaten Reach'!D67</f>
        <v>259126</v>
      </c>
      <c r="H18" s="93">
        <f>'Basisdaten Reach'!E67</f>
        <v>287589</v>
      </c>
      <c r="I18" s="93">
        <f>'Basisdaten Reach'!F67</f>
        <v>197815</v>
      </c>
      <c r="J18" s="93">
        <f>'Basisdaten Reach'!G67</f>
        <v>283569</v>
      </c>
      <c r="K18" s="93">
        <f>'Basisdaten Reach'!H67</f>
        <v>313250</v>
      </c>
      <c r="L18" s="93">
        <f>'Basisdaten Reach'!I67</f>
        <v>316701</v>
      </c>
      <c r="M18" s="93">
        <f>'Basisdaten Reach'!J67</f>
        <v>397073</v>
      </c>
      <c r="N18" s="93">
        <f>'Basisdaten Reach'!K67</f>
        <v>240993</v>
      </c>
      <c r="O18" s="93">
        <f>'Basisdaten Reach'!L67</f>
        <v>263003</v>
      </c>
      <c r="P18" s="93">
        <f>'Basisdaten Reach'!M67</f>
        <v>283621</v>
      </c>
      <c r="Q18" s="98">
        <f t="shared" si="9"/>
        <v>3265766</v>
      </c>
      <c r="R18" s="93">
        <f>'Basisdaten Reach'!O67</f>
        <v>187631</v>
      </c>
      <c r="S18" s="93">
        <f>'Basisdaten Reach'!P67</f>
        <v>186680</v>
      </c>
      <c r="T18" s="93">
        <f>'Basisdaten Reach'!Q67</f>
        <v>218186</v>
      </c>
      <c r="U18" s="93">
        <f>'Basisdaten Reach'!R67</f>
        <v>214977</v>
      </c>
      <c r="V18" s="93">
        <f>'Basisdaten Reach'!S67</f>
        <v>220424</v>
      </c>
      <c r="W18" s="93">
        <f>'Basisdaten Reach'!T67</f>
        <v>156766</v>
      </c>
      <c r="X18" s="93">
        <f>'Basisdaten Reach'!U67</f>
        <v>163588</v>
      </c>
      <c r="Y18" s="93">
        <f>'Basisdaten Reach'!V67</f>
        <v>124053</v>
      </c>
      <c r="Z18" s="93">
        <f>'Basisdaten Reach'!W67</f>
        <v>145705</v>
      </c>
      <c r="AA18" s="93">
        <f>'Basisdaten Reach'!X67</f>
        <v>163368</v>
      </c>
      <c r="AB18" s="93">
        <f>'Basisdaten Reach'!Y67</f>
        <v>164947</v>
      </c>
      <c r="AC18" s="93">
        <f>'Basisdaten Reach'!Z67</f>
        <v>138546</v>
      </c>
      <c r="AD18" s="98">
        <f t="shared" si="10"/>
        <v>2084871</v>
      </c>
      <c r="AE18" s="93">
        <f>'Basisdaten Reach'!AB67</f>
        <v>127005</v>
      </c>
      <c r="AF18" s="93">
        <f>'Basisdaten Reach'!AC67</f>
        <v>100018</v>
      </c>
      <c r="AG18" s="93">
        <f>'Basisdaten Reach'!AD67</f>
        <v>86397</v>
      </c>
      <c r="AH18" s="93">
        <f>'Basisdaten Reach'!AE67</f>
        <v>65508</v>
      </c>
      <c r="AI18" s="93">
        <f>'Basisdaten Reach'!AF67</f>
        <v>51276</v>
      </c>
      <c r="AJ18" s="93">
        <f>'Basisdaten Reach'!AG67</f>
        <v>0</v>
      </c>
      <c r="AK18" s="93">
        <f>'Basisdaten Reach'!AH67</f>
        <v>0</v>
      </c>
      <c r="AL18" s="93">
        <f>'Basisdaten Reach'!AI67</f>
        <v>0</v>
      </c>
      <c r="AM18" s="93">
        <f>'Basisdaten Reach'!AJ67</f>
        <v>0</v>
      </c>
      <c r="AN18" s="93">
        <f>'Basisdaten Reach'!AK67</f>
        <v>0</v>
      </c>
      <c r="AO18" s="93">
        <f>'Basisdaten Reach'!AL67</f>
        <v>0</v>
      </c>
      <c r="AP18" s="93">
        <f>'Basisdaten Reach'!AM67</f>
        <v>0</v>
      </c>
      <c r="AQ18" s="98">
        <f t="shared" si="11"/>
        <v>430204</v>
      </c>
    </row>
    <row r="19" spans="1:43">
      <c r="A19" s="35"/>
      <c r="B19" s="128" t="s">
        <v>25</v>
      </c>
      <c r="C19" s="85" t="s">
        <v>15</v>
      </c>
      <c r="D19" s="86" t="s">
        <v>40</v>
      </c>
      <c r="E19" s="93">
        <f>'Basisdaten Reach'!B68</f>
        <v>12596</v>
      </c>
      <c r="F19" s="93">
        <f>'Basisdaten Reach'!C68</f>
        <v>13717</v>
      </c>
      <c r="G19" s="93">
        <f>'Basisdaten Reach'!D68</f>
        <v>41862</v>
      </c>
      <c r="H19" s="93">
        <f>'Basisdaten Reach'!E68</f>
        <v>28126</v>
      </c>
      <c r="I19" s="93">
        <f>'Basisdaten Reach'!F68</f>
        <v>31896</v>
      </c>
      <c r="J19" s="93">
        <f>'Basisdaten Reach'!G68</f>
        <v>18075</v>
      </c>
      <c r="K19" s="93">
        <f>'Basisdaten Reach'!H68</f>
        <v>8557</v>
      </c>
      <c r="L19" s="93">
        <f>'Basisdaten Reach'!I68</f>
        <v>5949</v>
      </c>
      <c r="M19" s="93">
        <f>'Basisdaten Reach'!J68</f>
        <v>19328</v>
      </c>
      <c r="N19" s="93">
        <f>'Basisdaten Reach'!K68</f>
        <v>8585</v>
      </c>
      <c r="O19" s="93">
        <f>'Basisdaten Reach'!L68</f>
        <v>6675</v>
      </c>
      <c r="P19" s="93">
        <f>'Basisdaten Reach'!M68</f>
        <v>19601</v>
      </c>
      <c r="Q19" s="98">
        <f t="shared" si="9"/>
        <v>214967</v>
      </c>
      <c r="R19" s="93">
        <f>'Basisdaten Reach'!O68</f>
        <v>9108</v>
      </c>
      <c r="S19" s="93">
        <f>'Basisdaten Reach'!P68</f>
        <v>5315</v>
      </c>
      <c r="T19" s="93">
        <f>'Basisdaten Reach'!Q68</f>
        <v>13667</v>
      </c>
      <c r="U19" s="93">
        <f>'Basisdaten Reach'!R68</f>
        <v>8865</v>
      </c>
      <c r="V19" s="93">
        <f>'Basisdaten Reach'!S68</f>
        <v>6657</v>
      </c>
      <c r="W19" s="93">
        <f>'Basisdaten Reach'!T68</f>
        <v>8905</v>
      </c>
      <c r="X19" s="93">
        <f>'Basisdaten Reach'!U68</f>
        <v>9728</v>
      </c>
      <c r="Y19" s="93">
        <f>'Basisdaten Reach'!V68</f>
        <v>17268</v>
      </c>
      <c r="Z19" s="93">
        <f>'Basisdaten Reach'!W68</f>
        <v>2119</v>
      </c>
      <c r="AA19" s="93">
        <f>'Basisdaten Reach'!X68</f>
        <v>3892</v>
      </c>
      <c r="AB19" s="93">
        <f>'Basisdaten Reach'!Y68</f>
        <v>4657</v>
      </c>
      <c r="AC19" s="93">
        <f>'Basisdaten Reach'!Z68</f>
        <v>3583</v>
      </c>
      <c r="AD19" s="98">
        <f t="shared" si="10"/>
        <v>93764</v>
      </c>
      <c r="AE19" s="93">
        <f>'Basisdaten Reach'!AB68</f>
        <v>3630</v>
      </c>
      <c r="AF19" s="93">
        <f>'Basisdaten Reach'!AC68</f>
        <v>4217</v>
      </c>
      <c r="AG19" s="93">
        <f>'Basisdaten Reach'!AD68</f>
        <v>5399</v>
      </c>
      <c r="AH19" s="93">
        <f>'Basisdaten Reach'!AE68</f>
        <v>5863</v>
      </c>
      <c r="AI19" s="93">
        <f>'Basisdaten Reach'!AF68</f>
        <v>5753</v>
      </c>
      <c r="AJ19" s="93">
        <f>'Basisdaten Reach'!AG68</f>
        <v>0</v>
      </c>
      <c r="AK19" s="93">
        <f>'Basisdaten Reach'!AH68</f>
        <v>0</v>
      </c>
      <c r="AL19" s="93">
        <f>'Basisdaten Reach'!AI68</f>
        <v>0</v>
      </c>
      <c r="AM19" s="93">
        <f>'Basisdaten Reach'!AJ68</f>
        <v>0</v>
      </c>
      <c r="AN19" s="93">
        <f>'Basisdaten Reach'!AK68</f>
        <v>0</v>
      </c>
      <c r="AO19" s="93">
        <f>'Basisdaten Reach'!AL68</f>
        <v>0</v>
      </c>
      <c r="AP19" s="93">
        <f>'Basisdaten Reach'!AM68</f>
        <v>0</v>
      </c>
      <c r="AQ19" s="98">
        <f t="shared" si="11"/>
        <v>24862</v>
      </c>
    </row>
    <row r="20" spans="1:43">
      <c r="A20" s="35"/>
      <c r="B20" s="128" t="s">
        <v>25</v>
      </c>
      <c r="C20" s="85" t="s">
        <v>109</v>
      </c>
      <c r="D20" s="86" t="s">
        <v>40</v>
      </c>
      <c r="E20" s="93">
        <f>'Basisdaten Reach'!B69</f>
        <v>11847</v>
      </c>
      <c r="F20" s="93">
        <f>'Basisdaten Reach'!C69</f>
        <v>13271</v>
      </c>
      <c r="G20" s="93">
        <f>'Basisdaten Reach'!D69</f>
        <v>28189</v>
      </c>
      <c r="H20" s="93">
        <f>'Basisdaten Reach'!E69</f>
        <v>24577</v>
      </c>
      <c r="I20" s="93">
        <f>'Basisdaten Reach'!F69</f>
        <v>19057</v>
      </c>
      <c r="J20" s="93">
        <f>'Basisdaten Reach'!G69</f>
        <v>13191</v>
      </c>
      <c r="K20" s="93">
        <f>'Basisdaten Reach'!H69</f>
        <v>8272</v>
      </c>
      <c r="L20" s="93">
        <f>'Basisdaten Reach'!I69</f>
        <v>5978</v>
      </c>
      <c r="M20" s="93">
        <f>'Basisdaten Reach'!J69</f>
        <v>10029</v>
      </c>
      <c r="N20" s="93">
        <f>'Basisdaten Reach'!K69</f>
        <v>4697</v>
      </c>
      <c r="O20" s="93">
        <f>'Basisdaten Reach'!L69</f>
        <v>5297</v>
      </c>
      <c r="P20" s="93">
        <f>'Basisdaten Rev'!M53</f>
        <v>2.4700000000000002</v>
      </c>
      <c r="Q20" s="98">
        <f t="shared" si="9"/>
        <v>144407.47</v>
      </c>
      <c r="R20" s="93">
        <f>'Basisdaten Reach'!O69</f>
        <v>31789</v>
      </c>
      <c r="S20" s="93">
        <f>'Basisdaten Reach'!P69</f>
        <v>35218</v>
      </c>
      <c r="T20" s="93">
        <f>'Basisdaten Reach'!Q69</f>
        <v>23030</v>
      </c>
      <c r="U20" s="93">
        <f>'Basisdaten Reach'!R69</f>
        <v>23302</v>
      </c>
      <c r="V20" s="93">
        <f>'Basisdaten Reach'!S69</f>
        <v>33282</v>
      </c>
      <c r="W20" s="93">
        <f>'Basisdaten Reach'!T69</f>
        <v>13159</v>
      </c>
      <c r="X20" s="93">
        <f>'Basisdaten Reach'!U69</f>
        <v>13257</v>
      </c>
      <c r="Y20" s="93">
        <f>'Basisdaten Reach'!V69</f>
        <v>12285</v>
      </c>
      <c r="Z20" s="93">
        <f>'Basisdaten Reach'!W69</f>
        <v>11466</v>
      </c>
      <c r="AA20" s="93">
        <f>'Basisdaten Reach'!X69</f>
        <v>8039</v>
      </c>
      <c r="AB20" s="93">
        <f>'Basisdaten Reach'!Y69</f>
        <v>11493</v>
      </c>
      <c r="AC20" s="93">
        <f>'Basisdaten Reach'!Z69</f>
        <v>8157</v>
      </c>
      <c r="AD20" s="98">
        <f t="shared" si="10"/>
        <v>224477</v>
      </c>
      <c r="AE20" s="93">
        <f>'Basisdaten Reach'!AB69</f>
        <v>4545</v>
      </c>
      <c r="AF20" s="93">
        <f>'Basisdaten Reach'!AC69</f>
        <v>1669</v>
      </c>
      <c r="AG20" s="93">
        <f>'Basisdaten Reach'!AD69</f>
        <v>2049</v>
      </c>
      <c r="AH20" s="93">
        <f>'Basisdaten Reach'!AE69</f>
        <v>362</v>
      </c>
      <c r="AI20" s="93">
        <f>'Basisdaten Reach'!AF69</f>
        <v>89</v>
      </c>
      <c r="AJ20" s="93">
        <f>'Basisdaten Reach'!AG69</f>
        <v>0</v>
      </c>
      <c r="AK20" s="93">
        <f>'Basisdaten Reach'!AH69</f>
        <v>0</v>
      </c>
      <c r="AL20" s="93">
        <f>'Basisdaten Reach'!AI69</f>
        <v>0</v>
      </c>
      <c r="AM20" s="93">
        <f>'Basisdaten Reach'!AJ69</f>
        <v>0</v>
      </c>
      <c r="AN20" s="93">
        <f>'Basisdaten Reach'!AK69</f>
        <v>0</v>
      </c>
      <c r="AO20" s="93">
        <f>'Basisdaten Reach'!AL69</f>
        <v>0</v>
      </c>
      <c r="AP20" s="93">
        <f>'Basisdaten Reach'!AM69</f>
        <v>0</v>
      </c>
      <c r="AQ20" s="98">
        <f t="shared" si="11"/>
        <v>8714</v>
      </c>
    </row>
    <row r="21" spans="1:43">
      <c r="A21" s="35"/>
      <c r="B21" s="38" t="s">
        <v>41</v>
      </c>
      <c r="C21" s="58" t="s">
        <v>108</v>
      </c>
      <c r="D21" s="33" t="s">
        <v>39</v>
      </c>
      <c r="E21" s="94">
        <f>'Basisdaten Reach'!B64</f>
        <v>436033</v>
      </c>
      <c r="F21" s="94">
        <f>'Basisdaten Reach'!C64</f>
        <v>407304</v>
      </c>
      <c r="G21" s="94">
        <f>'Basisdaten Reach'!D64</f>
        <v>423852</v>
      </c>
      <c r="H21" s="94">
        <f>'Basisdaten Reach'!E64</f>
        <v>419956</v>
      </c>
      <c r="I21" s="94">
        <f>'Basisdaten Reach'!F64</f>
        <v>397342</v>
      </c>
      <c r="J21" s="94">
        <f>'Basisdaten Reach'!G64</f>
        <v>382951</v>
      </c>
      <c r="K21" s="94">
        <f>'Basisdaten Reach'!H64</f>
        <v>411854</v>
      </c>
      <c r="L21" s="94">
        <f>'Basisdaten Reach'!I64</f>
        <v>424799</v>
      </c>
      <c r="M21" s="94">
        <f>'Basisdaten Reach'!J64</f>
        <v>420988</v>
      </c>
      <c r="N21" s="94">
        <f>'Basisdaten Reach'!K64</f>
        <v>354796</v>
      </c>
      <c r="O21" s="94">
        <f>'Basisdaten Reach'!L64</f>
        <v>330370</v>
      </c>
      <c r="P21" s="94">
        <f>'Basisdaten Reach'!M64</f>
        <v>479044</v>
      </c>
      <c r="Q21" s="99">
        <f t="shared" si="9"/>
        <v>4889289</v>
      </c>
      <c r="R21" s="94">
        <f>'Basisdaten Reach'!O64</f>
        <v>355591</v>
      </c>
      <c r="S21" s="94">
        <f>'Basisdaten Reach'!P64</f>
        <v>471035</v>
      </c>
      <c r="T21" s="94">
        <f>'Basisdaten Reach'!Q64</f>
        <v>516028</v>
      </c>
      <c r="U21" s="94">
        <f>'Basisdaten Reach'!R64</f>
        <v>493980</v>
      </c>
      <c r="V21" s="94">
        <f>'Basisdaten Reach'!S64</f>
        <v>452177</v>
      </c>
      <c r="W21" s="94">
        <f>'Basisdaten Reach'!T64</f>
        <v>307969</v>
      </c>
      <c r="X21" s="94">
        <f>'Basisdaten Reach'!U64</f>
        <v>402660</v>
      </c>
      <c r="Y21" s="94">
        <f>'Basisdaten Reach'!V64</f>
        <v>341014</v>
      </c>
      <c r="Z21" s="94">
        <f>'Basisdaten Reach'!W64</f>
        <v>264252</v>
      </c>
      <c r="AA21" s="94">
        <f>'Basisdaten Reach'!X64</f>
        <v>277546</v>
      </c>
      <c r="AB21" s="94">
        <f>'Basisdaten Reach'!Y64</f>
        <v>262326</v>
      </c>
      <c r="AC21" s="94">
        <f>'Basisdaten Reach'!Z64</f>
        <v>333560</v>
      </c>
      <c r="AD21" s="99">
        <f t="shared" si="10"/>
        <v>4478138</v>
      </c>
      <c r="AE21" s="94">
        <f>'Basisdaten Reach'!AB64</f>
        <v>301717</v>
      </c>
      <c r="AF21" s="94">
        <f>'Basisdaten Reach'!AC64</f>
        <v>260717</v>
      </c>
      <c r="AG21" s="94">
        <f>'Basisdaten Reach'!AD64</f>
        <v>315900</v>
      </c>
      <c r="AH21" s="94">
        <f>'Basisdaten Reach'!AE64</f>
        <v>275088</v>
      </c>
      <c r="AI21" s="94">
        <f>'Basisdaten Reach'!AF64</f>
        <v>288315</v>
      </c>
      <c r="AJ21" s="94">
        <f>'Basisdaten Reach'!AG64</f>
        <v>366957</v>
      </c>
      <c r="AK21" s="94">
        <f>'Basisdaten Reach'!AH64</f>
        <v>260710</v>
      </c>
      <c r="AL21" s="94">
        <f>'Basisdaten Reach'!AI64</f>
        <v>204849</v>
      </c>
      <c r="AM21" s="94">
        <f>'Basisdaten Reach'!AJ64</f>
        <v>0</v>
      </c>
      <c r="AN21" s="94">
        <f>'Basisdaten Reach'!AK64</f>
        <v>0</v>
      </c>
      <c r="AO21" s="94">
        <f>'Basisdaten Reach'!AL64</f>
        <v>0</v>
      </c>
      <c r="AP21" s="94">
        <f>'Basisdaten Reach'!AM64</f>
        <v>0</v>
      </c>
      <c r="AQ21" s="99">
        <f t="shared" si="11"/>
        <v>2274253</v>
      </c>
    </row>
    <row r="22" spans="1:43">
      <c r="A22" s="35"/>
      <c r="B22" s="38" t="s">
        <v>41</v>
      </c>
      <c r="C22" s="58" t="s">
        <v>15</v>
      </c>
      <c r="D22" s="33" t="s">
        <v>39</v>
      </c>
      <c r="E22" s="94">
        <f>'Basisdaten Reach'!B65</f>
        <v>7738</v>
      </c>
      <c r="F22" s="94">
        <f>'Basisdaten Reach'!C65</f>
        <v>4307</v>
      </c>
      <c r="G22" s="94">
        <f>'Basisdaten Reach'!D65</f>
        <v>13270</v>
      </c>
      <c r="H22" s="94">
        <f>'Basisdaten Reach'!E65</f>
        <v>9136</v>
      </c>
      <c r="I22" s="94">
        <f>'Basisdaten Reach'!F65</f>
        <v>15433</v>
      </c>
      <c r="J22" s="94">
        <f>'Basisdaten Reach'!G65</f>
        <v>4706</v>
      </c>
      <c r="K22" s="94">
        <f>'Basisdaten Reach'!H65</f>
        <v>3370</v>
      </c>
      <c r="L22" s="94">
        <f>'Basisdaten Reach'!I65</f>
        <v>3321</v>
      </c>
      <c r="M22" s="94">
        <f>'Basisdaten Reach'!J65</f>
        <v>19314</v>
      </c>
      <c r="N22" s="94">
        <f>'Basisdaten Reach'!K65</f>
        <v>12386</v>
      </c>
      <c r="O22" s="94">
        <f>'Basisdaten Reach'!L65</f>
        <v>22463</v>
      </c>
      <c r="P22" s="94">
        <f>'Basisdaten Reach'!M65</f>
        <v>81770</v>
      </c>
      <c r="Q22" s="99">
        <f t="shared" si="9"/>
        <v>197214</v>
      </c>
      <c r="R22" s="94">
        <f>'Basisdaten Reach'!O65</f>
        <v>47475</v>
      </c>
      <c r="S22" s="94">
        <f>'Basisdaten Reach'!P65</f>
        <v>135637</v>
      </c>
      <c r="T22" s="94">
        <f>'Basisdaten Reach'!Q65</f>
        <v>72476</v>
      </c>
      <c r="U22" s="94">
        <f>'Basisdaten Reach'!R65</f>
        <v>71736</v>
      </c>
      <c r="V22" s="94">
        <f>'Basisdaten Reach'!S65</f>
        <v>23870</v>
      </c>
      <c r="W22" s="94">
        <f>'Basisdaten Reach'!T65</f>
        <v>37506</v>
      </c>
      <c r="X22" s="94">
        <f>'Basisdaten Reach'!U65</f>
        <v>59493</v>
      </c>
      <c r="Y22" s="94">
        <f>'Basisdaten Reach'!V65</f>
        <v>47639</v>
      </c>
      <c r="Z22" s="94">
        <f>'Basisdaten Reach'!W65</f>
        <v>24843</v>
      </c>
      <c r="AA22" s="94">
        <f>'Basisdaten Reach'!X65</f>
        <v>29863</v>
      </c>
      <c r="AB22" s="94">
        <f>'Basisdaten Reach'!Y65</f>
        <v>11752</v>
      </c>
      <c r="AC22" s="94">
        <f>'Basisdaten Reach'!Z65</f>
        <v>2348</v>
      </c>
      <c r="AD22" s="99">
        <f t="shared" si="10"/>
        <v>564638</v>
      </c>
      <c r="AE22" s="94">
        <f>'Basisdaten Reach'!AB65</f>
        <v>4310</v>
      </c>
      <c r="AF22" s="94">
        <f>'Basisdaten Reach'!AC65</f>
        <v>2086</v>
      </c>
      <c r="AG22" s="94">
        <f>'Basisdaten Reach'!AD65</f>
        <v>4248</v>
      </c>
      <c r="AH22" s="94">
        <f>'Basisdaten Reach'!AE65</f>
        <v>2413</v>
      </c>
      <c r="AI22" s="94">
        <f>'Basisdaten Reach'!AF65</f>
        <v>7236</v>
      </c>
      <c r="AJ22" s="94">
        <f>'Basisdaten Reach'!AG65</f>
        <v>9791</v>
      </c>
      <c r="AK22" s="94">
        <f>'Basisdaten Reach'!AH65</f>
        <v>4319</v>
      </c>
      <c r="AL22" s="94">
        <f>'Basisdaten Reach'!AI65</f>
        <v>3788</v>
      </c>
      <c r="AM22" s="94">
        <f>'Basisdaten Reach'!AJ65</f>
        <v>0</v>
      </c>
      <c r="AN22" s="94">
        <f>'Basisdaten Reach'!AK65</f>
        <v>0</v>
      </c>
      <c r="AO22" s="94">
        <f>'Basisdaten Reach'!AL65</f>
        <v>0</v>
      </c>
      <c r="AP22" s="94">
        <f>'Basisdaten Reach'!AM65</f>
        <v>0</v>
      </c>
      <c r="AQ22" s="99">
        <f t="shared" si="11"/>
        <v>38191</v>
      </c>
    </row>
    <row r="23" spans="1:43">
      <c r="A23" s="35"/>
      <c r="B23" s="67" t="s">
        <v>30</v>
      </c>
      <c r="C23" s="85" t="s">
        <v>108</v>
      </c>
      <c r="D23" s="86" t="s">
        <v>40</v>
      </c>
      <c r="E23" s="93">
        <f>'Basisdaten Reach'!B30</f>
        <v>2016143</v>
      </c>
      <c r="F23" s="93">
        <f>'Basisdaten Reach'!C30</f>
        <v>2305664</v>
      </c>
      <c r="G23" s="93">
        <f>'Basisdaten Reach'!D30</f>
        <v>1734180</v>
      </c>
      <c r="H23" s="93">
        <f>'Basisdaten Reach'!E30</f>
        <v>3449609</v>
      </c>
      <c r="I23" s="93">
        <f>'Basisdaten Reach'!F30</f>
        <v>3131354</v>
      </c>
      <c r="J23" s="93">
        <f>'Basisdaten Reach'!G30</f>
        <v>3007389</v>
      </c>
      <c r="K23" s="93">
        <f>'Basisdaten Reach'!H30</f>
        <v>3349022</v>
      </c>
      <c r="L23" s="93">
        <f>'Basisdaten Reach'!I30</f>
        <v>3680646</v>
      </c>
      <c r="M23" s="93">
        <f>'Basisdaten Reach'!J30</f>
        <v>3079132</v>
      </c>
      <c r="N23" s="93">
        <f>'Basisdaten Reach'!K30</f>
        <v>2731881</v>
      </c>
      <c r="O23" s="93">
        <f>'Basisdaten Reach'!L30</f>
        <v>2869285</v>
      </c>
      <c r="P23" s="93">
        <f>'Basisdaten Reach'!M30</f>
        <v>1736196</v>
      </c>
      <c r="Q23" s="98">
        <f t="shared" si="9"/>
        <v>33090501</v>
      </c>
      <c r="R23" s="93">
        <f>'Basisdaten Reach'!O30</f>
        <v>1797684</v>
      </c>
      <c r="S23" s="93">
        <f>'Basisdaten Reach'!P30</f>
        <v>1666893</v>
      </c>
      <c r="T23" s="93">
        <f>'Basisdaten Reach'!Q30</f>
        <v>481992</v>
      </c>
      <c r="U23" s="93">
        <f>'Basisdaten Reach'!R30</f>
        <v>336821</v>
      </c>
      <c r="V23" s="93">
        <f>'Basisdaten Reach'!S30</f>
        <v>531459</v>
      </c>
      <c r="W23" s="93">
        <f>'Basisdaten Reach'!T30</f>
        <v>253704</v>
      </c>
      <c r="X23" s="93">
        <f>'Basisdaten Reach'!U30</f>
        <v>610155</v>
      </c>
      <c r="Y23" s="93">
        <f>'Basisdaten Reach'!V30</f>
        <v>153922</v>
      </c>
      <c r="Z23" s="93">
        <f>'Basisdaten Reach'!W30</f>
        <v>0</v>
      </c>
      <c r="AA23" s="93">
        <f>'Basisdaten Reach'!X30</f>
        <v>0</v>
      </c>
      <c r="AB23" s="93">
        <f>'Basisdaten Reach'!Y30</f>
        <v>0</v>
      </c>
      <c r="AC23" s="93">
        <f>'Basisdaten Reach'!Z30</f>
        <v>0</v>
      </c>
      <c r="AD23" s="98">
        <f t="shared" si="10"/>
        <v>5832630</v>
      </c>
      <c r="AE23" s="93">
        <f>'Basisdaten Reach'!AB30</f>
        <v>0</v>
      </c>
      <c r="AF23" s="93">
        <f>'Basisdaten Reach'!AC30</f>
        <v>0</v>
      </c>
      <c r="AG23" s="93">
        <f>'Basisdaten Reach'!AD30</f>
        <v>0</v>
      </c>
      <c r="AH23" s="93">
        <f>'Basisdaten Reach'!AE30</f>
        <v>0</v>
      </c>
      <c r="AI23" s="93">
        <f>'Basisdaten Reach'!AF30</f>
        <v>0</v>
      </c>
      <c r="AJ23" s="93">
        <f>'Basisdaten Reach'!AG30</f>
        <v>0</v>
      </c>
      <c r="AK23" s="93">
        <f>'Basisdaten Reach'!AH30</f>
        <v>0</v>
      </c>
      <c r="AL23" s="93">
        <f>'Basisdaten Reach'!AI30</f>
        <v>0</v>
      </c>
      <c r="AM23" s="93">
        <f>'Basisdaten Reach'!AJ30</f>
        <v>0</v>
      </c>
      <c r="AN23" s="93">
        <f>'Basisdaten Reach'!AK30</f>
        <v>0</v>
      </c>
      <c r="AO23" s="93">
        <f>'Basisdaten Reach'!AL30</f>
        <v>0</v>
      </c>
      <c r="AP23" s="93">
        <f>'Basisdaten Reach'!AM30</f>
        <v>0</v>
      </c>
      <c r="AQ23" s="98">
        <f t="shared" si="11"/>
        <v>0</v>
      </c>
    </row>
    <row r="24" spans="1:43">
      <c r="A24" s="35"/>
      <c r="B24" s="67" t="s">
        <v>30</v>
      </c>
      <c r="C24" s="85" t="s">
        <v>15</v>
      </c>
      <c r="D24" s="86" t="s">
        <v>40</v>
      </c>
      <c r="E24" s="93">
        <f>'Basisdaten Reach'!B31</f>
        <v>581557</v>
      </c>
      <c r="F24" s="93">
        <f>'Basisdaten Reach'!C31</f>
        <v>710174</v>
      </c>
      <c r="G24" s="93">
        <f>'Basisdaten Reach'!D31</f>
        <v>812193</v>
      </c>
      <c r="H24" s="93">
        <f>'Basisdaten Reach'!E31</f>
        <v>753838</v>
      </c>
      <c r="I24" s="93">
        <f>'Basisdaten Reach'!F31</f>
        <v>956992</v>
      </c>
      <c r="J24" s="93">
        <f>'Basisdaten Reach'!G31</f>
        <v>1400143</v>
      </c>
      <c r="K24" s="93">
        <f>'Basisdaten Reach'!H31</f>
        <v>1534220</v>
      </c>
      <c r="L24" s="93">
        <f>'Basisdaten Reach'!I31</f>
        <v>1796718</v>
      </c>
      <c r="M24" s="93">
        <f>'Basisdaten Reach'!J31</f>
        <v>1704140</v>
      </c>
      <c r="N24" s="93">
        <f>'Basisdaten Reach'!K31</f>
        <v>1794110</v>
      </c>
      <c r="O24" s="93">
        <f>'Basisdaten Reach'!L31</f>
        <v>1789518</v>
      </c>
      <c r="P24" s="93">
        <f>'Basisdaten Reach'!M31</f>
        <v>2173505</v>
      </c>
      <c r="Q24" s="98">
        <f t="shared" si="9"/>
        <v>16007108</v>
      </c>
      <c r="R24" s="93">
        <f>'Basisdaten Reach'!O31</f>
        <v>3752424</v>
      </c>
      <c r="S24" s="93">
        <f>'Basisdaten Reach'!P31</f>
        <v>2812833</v>
      </c>
      <c r="T24" s="93">
        <f>'Basisdaten Reach'!Q31</f>
        <v>3024910</v>
      </c>
      <c r="U24" s="93">
        <f>'Basisdaten Reach'!R31</f>
        <v>2411195</v>
      </c>
      <c r="V24" s="93">
        <f>'Basisdaten Reach'!S31</f>
        <v>3900628</v>
      </c>
      <c r="W24" s="93">
        <f>'Basisdaten Reach'!T31</f>
        <v>3284231</v>
      </c>
      <c r="X24" s="93">
        <f>'Basisdaten Reach'!U31</f>
        <v>4007601</v>
      </c>
      <c r="Y24" s="93">
        <f>'Basisdaten Reach'!V31</f>
        <v>965745</v>
      </c>
      <c r="Z24" s="93">
        <f>'Basisdaten Reach'!W31</f>
        <v>0</v>
      </c>
      <c r="AA24" s="93">
        <f>'Basisdaten Reach'!X31</f>
        <v>0</v>
      </c>
      <c r="AB24" s="93">
        <f>'Basisdaten Reach'!Y31</f>
        <v>0</v>
      </c>
      <c r="AC24" s="93">
        <f>'Basisdaten Reach'!Z31</f>
        <v>0</v>
      </c>
      <c r="AD24" s="98">
        <f t="shared" si="10"/>
        <v>24159567</v>
      </c>
      <c r="AE24" s="93">
        <f>'Basisdaten Reach'!AB31</f>
        <v>0</v>
      </c>
      <c r="AF24" s="93">
        <f>'Basisdaten Reach'!AC31</f>
        <v>0</v>
      </c>
      <c r="AG24" s="93">
        <f>'Basisdaten Reach'!AD31</f>
        <v>0</v>
      </c>
      <c r="AH24" s="93">
        <f>'Basisdaten Reach'!AE31</f>
        <v>0</v>
      </c>
      <c r="AI24" s="93">
        <f>'Basisdaten Reach'!AF31</f>
        <v>0</v>
      </c>
      <c r="AJ24" s="93">
        <f>'Basisdaten Reach'!AG31</f>
        <v>0</v>
      </c>
      <c r="AK24" s="93">
        <f>'Basisdaten Reach'!AH31</f>
        <v>0</v>
      </c>
      <c r="AL24" s="93">
        <f>'Basisdaten Reach'!AI31</f>
        <v>0</v>
      </c>
      <c r="AM24" s="93">
        <f>'Basisdaten Reach'!AJ31</f>
        <v>0</v>
      </c>
      <c r="AN24" s="93">
        <f>'Basisdaten Reach'!AK31</f>
        <v>0</v>
      </c>
      <c r="AO24" s="93">
        <f>'Basisdaten Reach'!AL31</f>
        <v>0</v>
      </c>
      <c r="AP24" s="93">
        <f>'Basisdaten Reach'!AM31</f>
        <v>0</v>
      </c>
      <c r="AQ24" s="98">
        <f t="shared" si="11"/>
        <v>0</v>
      </c>
    </row>
    <row r="25" spans="1:43">
      <c r="A25" s="35"/>
      <c r="B25" s="67" t="s">
        <v>30</v>
      </c>
      <c r="C25" s="85" t="s">
        <v>109</v>
      </c>
      <c r="D25" s="86" t="s">
        <v>40</v>
      </c>
      <c r="E25" s="93">
        <f>'Basisdaten Reach'!B32</f>
        <v>4102991</v>
      </c>
      <c r="F25" s="93">
        <f>'Basisdaten Reach'!C32</f>
        <v>3916041</v>
      </c>
      <c r="G25" s="93">
        <f>'Basisdaten Reach'!D32</f>
        <v>3583486</v>
      </c>
      <c r="H25" s="93">
        <f>'Basisdaten Reach'!E32</f>
        <v>5055193</v>
      </c>
      <c r="I25" s="93">
        <f>'Basisdaten Reach'!F32</f>
        <v>7308420</v>
      </c>
      <c r="J25" s="93">
        <f>'Basisdaten Reach'!G32</f>
        <v>6572162</v>
      </c>
      <c r="K25" s="93">
        <f>'Basisdaten Reach'!H32</f>
        <v>3286710</v>
      </c>
      <c r="L25" s="93">
        <f>'Basisdaten Reach'!I32</f>
        <v>1712662</v>
      </c>
      <c r="M25" s="93">
        <f>'Basisdaten Reach'!J32</f>
        <v>2729574</v>
      </c>
      <c r="N25" s="93">
        <f>'Basisdaten Reach'!K32</f>
        <v>3785366</v>
      </c>
      <c r="O25" s="93">
        <f>'Basisdaten Reach'!L32</f>
        <v>4744991</v>
      </c>
      <c r="P25" s="93">
        <f>'Basisdaten Reach'!M32</f>
        <v>4790371</v>
      </c>
      <c r="Q25" s="98">
        <f t="shared" si="9"/>
        <v>51587967</v>
      </c>
      <c r="R25" s="93">
        <f>'Basisdaten Reach'!O32</f>
        <v>3664131</v>
      </c>
      <c r="S25" s="93">
        <f>'Basisdaten Reach'!P32</f>
        <v>996155</v>
      </c>
      <c r="T25" s="93">
        <f>'Basisdaten Reach'!Q32</f>
        <v>502914</v>
      </c>
      <c r="U25" s="93">
        <f>'Basisdaten Reach'!R32</f>
        <v>572336</v>
      </c>
      <c r="V25" s="93">
        <f>'Basisdaten Reach'!S32</f>
        <v>955009</v>
      </c>
      <c r="W25" s="93">
        <f>'Basisdaten Reach'!T32</f>
        <v>1077682</v>
      </c>
      <c r="X25" s="93">
        <f>'Basisdaten Reach'!U32</f>
        <v>1794265</v>
      </c>
      <c r="Y25" s="93">
        <f>'Basisdaten Reach'!V32</f>
        <v>272908</v>
      </c>
      <c r="Z25" s="93">
        <f>'Basisdaten Reach'!W32</f>
        <v>0</v>
      </c>
      <c r="AA25" s="93">
        <f>'Basisdaten Reach'!X32</f>
        <v>0</v>
      </c>
      <c r="AB25" s="93">
        <f>'Basisdaten Reach'!Y32</f>
        <v>0</v>
      </c>
      <c r="AC25" s="93">
        <f>'Basisdaten Reach'!Z32</f>
        <v>0</v>
      </c>
      <c r="AD25" s="98">
        <f t="shared" si="10"/>
        <v>9835400</v>
      </c>
      <c r="AE25" s="93">
        <f>'Basisdaten Reach'!AB32</f>
        <v>0</v>
      </c>
      <c r="AF25" s="93">
        <f>'Basisdaten Reach'!AC32</f>
        <v>0</v>
      </c>
      <c r="AG25" s="93">
        <f>'Basisdaten Reach'!AD32</f>
        <v>0</v>
      </c>
      <c r="AH25" s="93">
        <f>'Basisdaten Reach'!AE32</f>
        <v>0</v>
      </c>
      <c r="AI25" s="93">
        <f>'Basisdaten Reach'!AF32</f>
        <v>0</v>
      </c>
      <c r="AJ25" s="93">
        <f>'Basisdaten Reach'!AG32</f>
        <v>0</v>
      </c>
      <c r="AK25" s="93">
        <f>'Basisdaten Reach'!AH32</f>
        <v>0</v>
      </c>
      <c r="AL25" s="93">
        <f>'Basisdaten Reach'!AI32</f>
        <v>0</v>
      </c>
      <c r="AM25" s="93">
        <f>'Basisdaten Reach'!AJ32</f>
        <v>0</v>
      </c>
      <c r="AN25" s="93">
        <f>'Basisdaten Reach'!AK32</f>
        <v>0</v>
      </c>
      <c r="AO25" s="93">
        <f>'Basisdaten Reach'!AL32</f>
        <v>0</v>
      </c>
      <c r="AP25" s="93">
        <f>'Basisdaten Reach'!AM32</f>
        <v>0</v>
      </c>
      <c r="AQ25" s="98">
        <f t="shared" si="11"/>
        <v>0</v>
      </c>
    </row>
    <row r="26" spans="1:43">
      <c r="A26" s="35"/>
      <c r="B26" s="38" t="s">
        <v>3</v>
      </c>
      <c r="C26" s="58" t="s">
        <v>108</v>
      </c>
      <c r="D26" s="33" t="s">
        <v>39</v>
      </c>
      <c r="E26" s="94">
        <f>'Basisdaten Reach'!B6+'Basisdaten Reach'!B7</f>
        <v>0</v>
      </c>
      <c r="F26" s="94">
        <f>'Basisdaten Reach'!C6+'Basisdaten Reach'!C7</f>
        <v>0</v>
      </c>
      <c r="G26" s="94">
        <f>'Basisdaten Reach'!D6+'Basisdaten Reach'!D7</f>
        <v>0</v>
      </c>
      <c r="H26" s="94">
        <f>'Basisdaten Reach'!E6+'Basisdaten Reach'!E7</f>
        <v>0</v>
      </c>
      <c r="I26" s="94">
        <f>'Basisdaten Reach'!F6+'Basisdaten Reach'!F7</f>
        <v>0</v>
      </c>
      <c r="J26" s="94">
        <f>'Basisdaten Reach'!G6+'Basisdaten Reach'!G7</f>
        <v>0</v>
      </c>
      <c r="K26" s="94">
        <f>'Basisdaten Reach'!H6+'Basisdaten Reach'!H7</f>
        <v>0</v>
      </c>
      <c r="L26" s="94">
        <f>'Basisdaten Reach'!I6+'Basisdaten Reach'!I7</f>
        <v>6700689</v>
      </c>
      <c r="M26" s="94">
        <f>'Basisdaten Reach'!J6+'Basisdaten Reach'!J7</f>
        <v>0</v>
      </c>
      <c r="N26" s="94">
        <f>'Basisdaten Reach'!K6+'Basisdaten Reach'!K7</f>
        <v>4794655</v>
      </c>
      <c r="O26" s="94">
        <f>'Basisdaten Reach'!L6+'Basisdaten Reach'!L7</f>
        <v>3835820</v>
      </c>
      <c r="P26" s="94">
        <f>'Basisdaten Reach'!M6+'Basisdaten Reach'!M7</f>
        <v>0</v>
      </c>
      <c r="Q26" s="99">
        <f t="shared" si="9"/>
        <v>15331164</v>
      </c>
      <c r="R26" s="94">
        <f>'Basisdaten Reach'!O6+'Basisdaten Reach'!O7</f>
        <v>0</v>
      </c>
      <c r="S26" s="94">
        <f>'Basisdaten Reach'!P6+'Basisdaten Reach'!P7</f>
        <v>0</v>
      </c>
      <c r="T26" s="94">
        <f>'Basisdaten Reach'!Q6+'Basisdaten Reach'!Q7</f>
        <v>0</v>
      </c>
      <c r="U26" s="94">
        <f>'Basisdaten Reach'!R6+'Basisdaten Reach'!R7</f>
        <v>0</v>
      </c>
      <c r="V26" s="94">
        <f>'Basisdaten Reach'!S6+'Basisdaten Reach'!S7</f>
        <v>0</v>
      </c>
      <c r="W26" s="94">
        <f>'Basisdaten Reach'!T6+'Basisdaten Reach'!T7</f>
        <v>6480189</v>
      </c>
      <c r="X26" s="94">
        <f>'Basisdaten Reach'!U6+'Basisdaten Reach'!U7</f>
        <v>5518350</v>
      </c>
      <c r="Y26" s="94">
        <f>'Basisdaten Reach'!V6+'Basisdaten Reach'!V7</f>
        <v>5943322</v>
      </c>
      <c r="Z26" s="94">
        <f>'Basisdaten Reach'!W6+'Basisdaten Reach'!W7</f>
        <v>6014956</v>
      </c>
      <c r="AA26" s="94">
        <f>'Basisdaten Reach'!X6+'Basisdaten Reach'!X7</f>
        <v>7025570</v>
      </c>
      <c r="AB26" s="94">
        <f>'Basisdaten Reach'!Y6+'Basisdaten Reach'!Y7</f>
        <v>5696904</v>
      </c>
      <c r="AC26" s="94">
        <f>'Basisdaten Reach'!Z6+'Basisdaten Reach'!Z7</f>
        <v>6795925</v>
      </c>
      <c r="AD26" s="99">
        <f t="shared" si="10"/>
        <v>43475216</v>
      </c>
      <c r="AE26" s="94">
        <f>'Basisdaten Reach'!AB6+'Basisdaten Reach'!AB7</f>
        <v>7716961</v>
      </c>
      <c r="AF26" s="94">
        <f>'Basisdaten Reach'!AC6+'Basisdaten Reach'!AC7</f>
        <v>6190458</v>
      </c>
      <c r="AG26" s="94">
        <f>'Basisdaten Reach'!AD6+'Basisdaten Reach'!AD7</f>
        <v>7307938</v>
      </c>
      <c r="AH26" s="94">
        <f>'Basisdaten Reach'!AE6+'Basisdaten Reach'!AE7</f>
        <v>6447622</v>
      </c>
      <c r="AI26" s="94">
        <f>'Basisdaten Reach'!AF6+'Basisdaten Reach'!AF7</f>
        <v>5784416</v>
      </c>
      <c r="AJ26" s="94">
        <f>'Basisdaten Reach'!AG6+'Basisdaten Reach'!AG7</f>
        <v>4717492</v>
      </c>
      <c r="AK26" s="94">
        <f>'Basisdaten Reach'!AH6+'Basisdaten Reach'!AH7</f>
        <v>7869160</v>
      </c>
      <c r="AL26" s="94">
        <f>'Basisdaten Reach'!AI6+'Basisdaten Reach'!AI7</f>
        <v>0</v>
      </c>
      <c r="AM26" s="94">
        <f>'Basisdaten Reach'!AJ6+'Basisdaten Reach'!AJ7</f>
        <v>0</v>
      </c>
      <c r="AN26" s="94">
        <f>'Basisdaten Reach'!AK6+'Basisdaten Reach'!AK7</f>
        <v>0</v>
      </c>
      <c r="AO26" s="94">
        <f>'Basisdaten Reach'!AL6+'Basisdaten Reach'!AL7</f>
        <v>0</v>
      </c>
      <c r="AP26" s="94">
        <f>'Basisdaten Reach'!AM6+'Basisdaten Reach'!AM7</f>
        <v>0</v>
      </c>
      <c r="AQ26" s="99">
        <f t="shared" si="11"/>
        <v>46034047</v>
      </c>
    </row>
    <row r="27" spans="1:43">
      <c r="A27" s="35"/>
      <c r="B27" s="38" t="s">
        <v>3</v>
      </c>
      <c r="C27" s="58" t="s">
        <v>15</v>
      </c>
      <c r="D27" s="33" t="s">
        <v>39</v>
      </c>
      <c r="E27" s="94">
        <f>'Basisdaten Reach'!B8</f>
        <v>0</v>
      </c>
      <c r="F27" s="94">
        <f>'Basisdaten Reach'!C8</f>
        <v>0</v>
      </c>
      <c r="G27" s="94">
        <f>'Basisdaten Reach'!D8</f>
        <v>0</v>
      </c>
      <c r="H27" s="94">
        <f>'Basisdaten Reach'!E8</f>
        <v>0</v>
      </c>
      <c r="I27" s="94">
        <f>'Basisdaten Reach'!F8</f>
        <v>0</v>
      </c>
      <c r="J27" s="94">
        <f>'Basisdaten Reach'!G8</f>
        <v>0</v>
      </c>
      <c r="K27" s="94">
        <f>'Basisdaten Reach'!H8</f>
        <v>2138222</v>
      </c>
      <c r="L27" s="94">
        <f>'Basisdaten Reach'!I8</f>
        <v>14260733</v>
      </c>
      <c r="M27" s="94">
        <f>'Basisdaten Reach'!J8</f>
        <v>25004206</v>
      </c>
      <c r="N27" s="94">
        <f>'Basisdaten Reach'!K8</f>
        <v>11821561</v>
      </c>
      <c r="O27" s="94">
        <f>'Basisdaten Reach'!L8</f>
        <v>17356016</v>
      </c>
      <c r="P27" s="94">
        <f>'Basisdaten Reach'!M8</f>
        <v>17472762</v>
      </c>
      <c r="Q27" s="99">
        <f t="shared" si="9"/>
        <v>88053500</v>
      </c>
      <c r="R27" s="94">
        <f>'Basisdaten Reach'!O8</f>
        <v>19353477</v>
      </c>
      <c r="S27" s="94">
        <f>'Basisdaten Reach'!P8</f>
        <v>18341161</v>
      </c>
      <c r="T27" s="94">
        <f>'Basisdaten Reach'!Q8</f>
        <v>16633723</v>
      </c>
      <c r="U27" s="94">
        <f>'Basisdaten Reach'!R8</f>
        <v>14610023</v>
      </c>
      <c r="V27" s="94">
        <f>'Basisdaten Reach'!S8</f>
        <v>17530866</v>
      </c>
      <c r="W27" s="94">
        <f>'Basisdaten Reach'!T8</f>
        <v>8646376</v>
      </c>
      <c r="X27" s="94">
        <f>'Basisdaten Reach'!U8</f>
        <v>10153750</v>
      </c>
      <c r="Y27" s="94">
        <f>'Basisdaten Reach'!V8</f>
        <v>5531750</v>
      </c>
      <c r="Z27" s="94">
        <f>'Basisdaten Reach'!W8</f>
        <v>6127404</v>
      </c>
      <c r="AA27" s="94">
        <f>'Basisdaten Reach'!X8</f>
        <v>4612800</v>
      </c>
      <c r="AB27" s="94">
        <f>'Basisdaten Reach'!Y8</f>
        <v>1786168</v>
      </c>
      <c r="AC27" s="94">
        <f>'Basisdaten Reach'!Z8</f>
        <v>2162346</v>
      </c>
      <c r="AD27" s="99">
        <f t="shared" si="10"/>
        <v>125489844</v>
      </c>
      <c r="AE27" s="94">
        <f>'Basisdaten Reach'!AB8</f>
        <v>2921757</v>
      </c>
      <c r="AF27" s="94">
        <f>'Basisdaten Reach'!AC8</f>
        <v>4029202</v>
      </c>
      <c r="AG27" s="94">
        <f>'Basisdaten Reach'!AD8</f>
        <v>5685705</v>
      </c>
      <c r="AH27" s="94">
        <f>'Basisdaten Reach'!AE8</f>
        <v>6421367</v>
      </c>
      <c r="AI27" s="94">
        <f>'Basisdaten Reach'!AF8</f>
        <v>17849283</v>
      </c>
      <c r="AJ27" s="94">
        <f>'Basisdaten Reach'!AG8</f>
        <v>21245824</v>
      </c>
      <c r="AK27" s="94">
        <f>'Basisdaten Reach'!AH8</f>
        <v>25350921</v>
      </c>
      <c r="AL27" s="94">
        <f>'Basisdaten Reach'!AI8</f>
        <v>0</v>
      </c>
      <c r="AM27" s="94">
        <f>'Basisdaten Reach'!AJ8</f>
        <v>0</v>
      </c>
      <c r="AN27" s="94">
        <f>'Basisdaten Reach'!AK8</f>
        <v>0</v>
      </c>
      <c r="AO27" s="94">
        <f>'Basisdaten Reach'!AL8</f>
        <v>0</v>
      </c>
      <c r="AP27" s="94">
        <f>'Basisdaten Reach'!AM8</f>
        <v>0</v>
      </c>
      <c r="AQ27" s="99">
        <f t="shared" si="11"/>
        <v>83504059</v>
      </c>
    </row>
    <row r="28" spans="1:43">
      <c r="A28" s="35"/>
      <c r="B28" s="38" t="s">
        <v>3</v>
      </c>
      <c r="C28" s="58" t="s">
        <v>109</v>
      </c>
      <c r="D28" s="33" t="s">
        <v>39</v>
      </c>
      <c r="E28" s="94">
        <f>'Basisdaten Reach'!B9</f>
        <v>0</v>
      </c>
      <c r="F28" s="94">
        <f>'Basisdaten Reach'!C9</f>
        <v>0</v>
      </c>
      <c r="G28" s="94">
        <f>'Basisdaten Reach'!D9</f>
        <v>0</v>
      </c>
      <c r="H28" s="94">
        <f>'Basisdaten Reach'!E9</f>
        <v>0</v>
      </c>
      <c r="I28" s="94">
        <f>'Basisdaten Reach'!F9</f>
        <v>0</v>
      </c>
      <c r="J28" s="94">
        <f>'Basisdaten Reach'!G9</f>
        <v>0</v>
      </c>
      <c r="K28" s="94">
        <f>'Basisdaten Reach'!H9</f>
        <v>0</v>
      </c>
      <c r="L28" s="94">
        <f>'Basisdaten Reach'!I9</f>
        <v>34183</v>
      </c>
      <c r="M28" s="94">
        <f>'Basisdaten Reach'!J9</f>
        <v>467018</v>
      </c>
      <c r="N28" s="94">
        <f>'Basisdaten Reach'!K9</f>
        <v>130422</v>
      </c>
      <c r="O28" s="94">
        <f>'Basisdaten Reach'!L9</f>
        <v>262969</v>
      </c>
      <c r="P28" s="94">
        <f>'Basisdaten Reach'!M9</f>
        <v>231056</v>
      </c>
      <c r="Q28" s="99">
        <f t="shared" si="9"/>
        <v>1125648</v>
      </c>
      <c r="R28" s="94">
        <f>'Basisdaten Reach'!O9</f>
        <v>332919</v>
      </c>
      <c r="S28" s="94">
        <f>'Basisdaten Reach'!P9</f>
        <v>353272</v>
      </c>
      <c r="T28" s="94">
        <f>'Basisdaten Reach'!Q9</f>
        <v>1312363</v>
      </c>
      <c r="U28" s="94">
        <f>'Basisdaten Reach'!R9</f>
        <v>1303882</v>
      </c>
      <c r="V28" s="94">
        <f>'Basisdaten Reach'!S9</f>
        <v>1472297</v>
      </c>
      <c r="W28" s="94">
        <f>'Basisdaten Reach'!T9</f>
        <v>1408447</v>
      </c>
      <c r="X28" s="94">
        <f>'Basisdaten Reach'!U9</f>
        <v>1754898</v>
      </c>
      <c r="Y28" s="94">
        <f>'Basisdaten Reach'!V9</f>
        <v>1679816</v>
      </c>
      <c r="Z28" s="94">
        <f>'Basisdaten Reach'!W9</f>
        <v>1324709</v>
      </c>
      <c r="AA28" s="94">
        <f>'Basisdaten Reach'!X9</f>
        <v>1153099</v>
      </c>
      <c r="AB28" s="94">
        <f>'Basisdaten Reach'!Y9</f>
        <v>990449</v>
      </c>
      <c r="AC28" s="94">
        <f>'Basisdaten Reach'!Z9</f>
        <v>728976</v>
      </c>
      <c r="AD28" s="99">
        <f t="shared" si="10"/>
        <v>13815127</v>
      </c>
      <c r="AE28" s="94">
        <f>'Basisdaten Reach'!AB9</f>
        <v>680646</v>
      </c>
      <c r="AF28" s="94">
        <f>'Basisdaten Reach'!AC9</f>
        <v>136905</v>
      </c>
      <c r="AG28" s="94">
        <f>'Basisdaten Reach'!AD9</f>
        <v>59390</v>
      </c>
      <c r="AH28" s="94">
        <f>'Basisdaten Reach'!AE9</f>
        <v>129389</v>
      </c>
      <c r="AI28" s="94">
        <f>'Basisdaten Reach'!AF9</f>
        <v>112822</v>
      </c>
      <c r="AJ28" s="94">
        <f>'Basisdaten Reach'!AG9</f>
        <v>227159</v>
      </c>
      <c r="AK28" s="94">
        <f>'Basisdaten Reach'!AH9</f>
        <v>226411</v>
      </c>
      <c r="AL28" s="94">
        <f>'Basisdaten Reach'!AI9</f>
        <v>0</v>
      </c>
      <c r="AM28" s="94">
        <f>'Basisdaten Reach'!AJ9</f>
        <v>0</v>
      </c>
      <c r="AN28" s="94">
        <f>'Basisdaten Reach'!AK9</f>
        <v>0</v>
      </c>
      <c r="AO28" s="94">
        <f>'Basisdaten Reach'!AL9</f>
        <v>0</v>
      </c>
      <c r="AP28" s="94">
        <f>'Basisdaten Reach'!AM9</f>
        <v>0</v>
      </c>
      <c r="AQ28" s="99">
        <f t="shared" si="11"/>
        <v>1572722</v>
      </c>
    </row>
    <row r="29" spans="1:43">
      <c r="A29" s="35"/>
      <c r="B29" s="67" t="s">
        <v>1</v>
      </c>
      <c r="C29" s="65" t="s">
        <v>108</v>
      </c>
      <c r="D29" s="86" t="s">
        <v>40</v>
      </c>
      <c r="E29" s="93">
        <f>'Basisdaten Reach'!B17</f>
        <v>2080087</v>
      </c>
      <c r="F29" s="93">
        <f>'Basisdaten Reach'!C17</f>
        <v>2072949</v>
      </c>
      <c r="G29" s="93">
        <f>'Basisdaten Reach'!D17</f>
        <v>2511510</v>
      </c>
      <c r="H29" s="93">
        <f>'Basisdaten Reach'!E17</f>
        <v>2515149</v>
      </c>
      <c r="I29" s="93">
        <f>'Basisdaten Reach'!F17</f>
        <v>3923342</v>
      </c>
      <c r="J29" s="93">
        <f>'Basisdaten Reach'!G17</f>
        <v>3454682</v>
      </c>
      <c r="K29" s="93">
        <f>'Basisdaten Reach'!H17</f>
        <v>3301858</v>
      </c>
      <c r="L29" s="93">
        <f>'Basisdaten Reach'!I17</f>
        <v>2431797</v>
      </c>
      <c r="M29" s="93">
        <f>'Basisdaten Reach'!J17</f>
        <v>2220780</v>
      </c>
      <c r="N29" s="93">
        <f>'Basisdaten Reach'!K17</f>
        <v>1689275</v>
      </c>
      <c r="O29" s="93">
        <f>'Basisdaten Reach'!L17</f>
        <v>1489304</v>
      </c>
      <c r="P29" s="93">
        <f>'Basisdaten Reach'!M17</f>
        <v>2065146</v>
      </c>
      <c r="Q29" s="98">
        <f t="shared" si="9"/>
        <v>29755879</v>
      </c>
      <c r="R29" s="93">
        <f>'Basisdaten Reach'!O17</f>
        <v>946508</v>
      </c>
      <c r="S29" s="93">
        <f>'Basisdaten Reach'!P17</f>
        <v>710491</v>
      </c>
      <c r="T29" s="93">
        <f>'Basisdaten Reach'!Q17</f>
        <v>0</v>
      </c>
      <c r="U29" s="93">
        <f>'Basisdaten Reach'!R17</f>
        <v>779263</v>
      </c>
      <c r="V29" s="93">
        <f>'Basisdaten Reach'!S17</f>
        <v>1234302</v>
      </c>
      <c r="W29" s="93">
        <f>'Basisdaten Reach'!T17</f>
        <v>1767597</v>
      </c>
      <c r="X29" s="93">
        <f>'Basisdaten Reach'!U17</f>
        <v>1174508</v>
      </c>
      <c r="Y29" s="93">
        <f>'Basisdaten Reach'!V17</f>
        <v>1043057</v>
      </c>
      <c r="Z29" s="93">
        <f>'Basisdaten Reach'!W17</f>
        <v>1042366</v>
      </c>
      <c r="AA29" s="93">
        <f>'Basisdaten Reach'!X17</f>
        <v>729939</v>
      </c>
      <c r="AB29" s="93">
        <f>'Basisdaten Reach'!Y17</f>
        <v>813365</v>
      </c>
      <c r="AC29" s="93">
        <f>'Basisdaten Reach'!Z17</f>
        <v>798572</v>
      </c>
      <c r="AD29" s="98">
        <f t="shared" si="10"/>
        <v>11039968</v>
      </c>
      <c r="AE29" s="93">
        <f>'Basisdaten Reach'!AB17</f>
        <v>381438</v>
      </c>
      <c r="AF29" s="93">
        <f>'Basisdaten Reach'!AC17</f>
        <v>316200</v>
      </c>
      <c r="AG29" s="93">
        <f>'Basisdaten Reach'!AD17</f>
        <v>411163</v>
      </c>
      <c r="AH29" s="93">
        <f>'Basisdaten Reach'!AE17</f>
        <v>445750</v>
      </c>
      <c r="AI29" s="93">
        <f>'Basisdaten Reach'!AF17</f>
        <v>1328645</v>
      </c>
      <c r="AJ29" s="93">
        <f>'Basisdaten Reach'!AG17</f>
        <v>2469918</v>
      </c>
      <c r="AK29" s="93">
        <f>'Basisdaten Reach'!AH17</f>
        <v>1691134</v>
      </c>
      <c r="AL29" s="93">
        <f>'Basisdaten Reach'!AI17</f>
        <v>3590639</v>
      </c>
      <c r="AM29" s="93">
        <f>'Basisdaten Reach'!AJ17</f>
        <v>0</v>
      </c>
      <c r="AN29" s="93">
        <f>'Basisdaten Reach'!AK17</f>
        <v>0</v>
      </c>
      <c r="AO29" s="93">
        <f>'Basisdaten Reach'!AL17</f>
        <v>0</v>
      </c>
      <c r="AP29" s="93">
        <f>'Basisdaten Reach'!AM17</f>
        <v>0</v>
      </c>
      <c r="AQ29" s="98">
        <f t="shared" si="11"/>
        <v>10634887</v>
      </c>
    </row>
    <row r="30" spans="1:43">
      <c r="A30" s="35"/>
      <c r="B30" s="67" t="s">
        <v>1</v>
      </c>
      <c r="C30" s="65" t="s">
        <v>15</v>
      </c>
      <c r="D30" s="86" t="s">
        <v>40</v>
      </c>
      <c r="E30" s="93">
        <f>'Basisdaten Reach'!B18</f>
        <v>99999</v>
      </c>
      <c r="F30" s="93">
        <f>'Basisdaten Reach'!C18</f>
        <v>20507</v>
      </c>
      <c r="G30" s="93">
        <f>'Basisdaten Reach'!D18</f>
        <v>31750</v>
      </c>
      <c r="H30" s="93">
        <f>'Basisdaten Reach'!E18</f>
        <v>111708</v>
      </c>
      <c r="I30" s="93">
        <f>'Basisdaten Reach'!F18</f>
        <v>71477</v>
      </c>
      <c r="J30" s="93">
        <f>'Basisdaten Reach'!G18</f>
        <v>0</v>
      </c>
      <c r="K30" s="93">
        <f>'Basisdaten Reach'!H18</f>
        <v>38213</v>
      </c>
      <c r="L30" s="93">
        <f>'Basisdaten Reach'!I18</f>
        <v>6510</v>
      </c>
      <c r="M30" s="93">
        <f>'Basisdaten Reach'!J18</f>
        <v>20548</v>
      </c>
      <c r="N30" s="93">
        <f>'Basisdaten Reach'!K18</f>
        <v>289403</v>
      </c>
      <c r="O30" s="93">
        <f>'Basisdaten Reach'!L18</f>
        <v>154852</v>
      </c>
      <c r="P30" s="93">
        <f>'Basisdaten Reach'!M18</f>
        <v>381648</v>
      </c>
      <c r="Q30" s="98">
        <f t="shared" si="9"/>
        <v>1226615</v>
      </c>
      <c r="R30" s="93">
        <f>'Basisdaten Reach'!O18</f>
        <v>384760</v>
      </c>
      <c r="S30" s="93">
        <f>'Basisdaten Reach'!P18</f>
        <v>120064</v>
      </c>
      <c r="T30" s="93">
        <f>'Basisdaten Reach'!Q18</f>
        <v>0</v>
      </c>
      <c r="U30" s="93">
        <f>'Basisdaten Reach'!R18</f>
        <v>659</v>
      </c>
      <c r="V30" s="93">
        <f>'Basisdaten Reach'!S18</f>
        <v>1879</v>
      </c>
      <c r="W30" s="93">
        <f>'Basisdaten Reach'!T18</f>
        <v>1878</v>
      </c>
      <c r="X30" s="93">
        <f>'Basisdaten Reach'!U18</f>
        <v>24241</v>
      </c>
      <c r="Y30" s="93">
        <f>'Basisdaten Reach'!V18</f>
        <v>12650</v>
      </c>
      <c r="Z30" s="93">
        <f>'Basisdaten Reach'!W18</f>
        <v>13398</v>
      </c>
      <c r="AA30" s="93">
        <f>'Basisdaten Reach'!X18</f>
        <v>32670</v>
      </c>
      <c r="AB30" s="93">
        <f>'Basisdaten Reach'!Y18</f>
        <v>45689</v>
      </c>
      <c r="AC30" s="93">
        <f>'Basisdaten Reach'!Z18</f>
        <v>2660</v>
      </c>
      <c r="AD30" s="98">
        <f t="shared" si="10"/>
        <v>640548</v>
      </c>
      <c r="AE30" s="93">
        <f>'Basisdaten Reach'!AB18</f>
        <v>2579</v>
      </c>
      <c r="AF30" s="93">
        <f>'Basisdaten Reach'!AC18</f>
        <v>3498</v>
      </c>
      <c r="AG30" s="93">
        <f>'Basisdaten Reach'!AD18</f>
        <v>1450</v>
      </c>
      <c r="AH30" s="93">
        <f>'Basisdaten Reach'!AE18</f>
        <v>1248</v>
      </c>
      <c r="AI30" s="93">
        <f>'Basisdaten Reach'!AF18</f>
        <v>35576</v>
      </c>
      <c r="AJ30" s="93">
        <f>'Basisdaten Reach'!AG18</f>
        <v>50682</v>
      </c>
      <c r="AK30" s="93">
        <f>'Basisdaten Reach'!AH18</f>
        <v>26758</v>
      </c>
      <c r="AL30" s="93">
        <f>'Basisdaten Reach'!AI18</f>
        <v>9163</v>
      </c>
      <c r="AM30" s="93">
        <f>'Basisdaten Reach'!AJ18</f>
        <v>0</v>
      </c>
      <c r="AN30" s="93">
        <f>'Basisdaten Reach'!AK18</f>
        <v>0</v>
      </c>
      <c r="AO30" s="93">
        <f>'Basisdaten Reach'!AL18</f>
        <v>0</v>
      </c>
      <c r="AP30" s="93">
        <f>'Basisdaten Reach'!AM18</f>
        <v>0</v>
      </c>
      <c r="AQ30" s="98">
        <f t="shared" si="11"/>
        <v>130954</v>
      </c>
    </row>
    <row r="31" spans="1:43">
      <c r="A31" s="35"/>
      <c r="B31" s="67" t="s">
        <v>1</v>
      </c>
      <c r="C31" s="65" t="s">
        <v>109</v>
      </c>
      <c r="D31" s="86" t="s">
        <v>40</v>
      </c>
      <c r="E31" s="93">
        <f>'Basisdaten Reach'!B19</f>
        <v>344751</v>
      </c>
      <c r="F31" s="93">
        <f>'Basisdaten Reach'!C19</f>
        <v>713617</v>
      </c>
      <c r="G31" s="93">
        <f>'Basisdaten Reach'!D19</f>
        <v>813758</v>
      </c>
      <c r="H31" s="93">
        <f>'Basisdaten Reach'!E19</f>
        <v>1078705</v>
      </c>
      <c r="I31" s="93">
        <f>'Basisdaten Reach'!F19</f>
        <v>1523072</v>
      </c>
      <c r="J31" s="93">
        <f>'Basisdaten Reach'!G19</f>
        <v>1507521</v>
      </c>
      <c r="K31" s="93">
        <f>'Basisdaten Reach'!H19</f>
        <v>853327</v>
      </c>
      <c r="L31" s="93">
        <f>'Basisdaten Reach'!I19</f>
        <v>978104</v>
      </c>
      <c r="M31" s="93">
        <f>'Basisdaten Reach'!J19</f>
        <v>947963</v>
      </c>
      <c r="N31" s="93">
        <f>'Basisdaten Reach'!K19</f>
        <v>644040</v>
      </c>
      <c r="O31" s="93">
        <f>'Basisdaten Reach'!L19</f>
        <v>715271</v>
      </c>
      <c r="P31" s="93">
        <f>'Basisdaten Reach'!M19</f>
        <v>496841</v>
      </c>
      <c r="Q31" s="98">
        <f t="shared" si="9"/>
        <v>10616970</v>
      </c>
      <c r="R31" s="93">
        <f>'Basisdaten Reach'!O19</f>
        <v>401583</v>
      </c>
      <c r="S31" s="93">
        <f>'Basisdaten Reach'!P19</f>
        <v>360398</v>
      </c>
      <c r="T31" s="93">
        <f>'Basisdaten Reach'!Q19</f>
        <v>0</v>
      </c>
      <c r="U31" s="93">
        <f>'Basisdaten Reach'!R19</f>
        <v>58663</v>
      </c>
      <c r="V31" s="93">
        <f>'Basisdaten Reach'!S19</f>
        <v>99248</v>
      </c>
      <c r="W31" s="93">
        <f>'Basisdaten Reach'!T19</f>
        <v>67625</v>
      </c>
      <c r="X31" s="93">
        <f>'Basisdaten Reach'!U19</f>
        <v>19561</v>
      </c>
      <c r="Y31" s="93">
        <f>'Basisdaten Reach'!V19</f>
        <v>118584</v>
      </c>
      <c r="Z31" s="93">
        <f>'Basisdaten Reach'!W19</f>
        <v>123075</v>
      </c>
      <c r="AA31" s="93">
        <f>'Basisdaten Reach'!X19</f>
        <v>141974</v>
      </c>
      <c r="AB31" s="93">
        <f>'Basisdaten Reach'!Y19</f>
        <v>225310</v>
      </c>
      <c r="AC31" s="93">
        <f>'Basisdaten Reach'!Z19</f>
        <v>163309</v>
      </c>
      <c r="AD31" s="98">
        <f t="shared" si="10"/>
        <v>1779330</v>
      </c>
      <c r="AE31" s="93">
        <f>'Basisdaten Reach'!AB19</f>
        <v>192472</v>
      </c>
      <c r="AF31" s="93">
        <f>'Basisdaten Reach'!AC19</f>
        <v>270396</v>
      </c>
      <c r="AG31" s="93">
        <f>'Basisdaten Reach'!AD19</f>
        <v>222684</v>
      </c>
      <c r="AH31" s="93">
        <f>'Basisdaten Reach'!AE19</f>
        <v>105564</v>
      </c>
      <c r="AI31" s="93">
        <f>'Basisdaten Reach'!AF19</f>
        <v>363512</v>
      </c>
      <c r="AJ31" s="93">
        <f>'Basisdaten Reach'!AG19</f>
        <v>749027</v>
      </c>
      <c r="AK31" s="93">
        <f>'Basisdaten Reach'!AH19</f>
        <v>185310</v>
      </c>
      <c r="AL31" s="93">
        <f>'Basisdaten Reach'!AI19</f>
        <v>194398</v>
      </c>
      <c r="AM31" s="93">
        <f>'Basisdaten Reach'!AJ19</f>
        <v>0</v>
      </c>
      <c r="AN31" s="93">
        <f>'Basisdaten Reach'!AK19</f>
        <v>0</v>
      </c>
      <c r="AO31" s="93">
        <f>'Basisdaten Reach'!AL19</f>
        <v>0</v>
      </c>
      <c r="AP31" s="93">
        <f>'Basisdaten Reach'!AM19</f>
        <v>0</v>
      </c>
      <c r="AQ31" s="98">
        <f t="shared" si="11"/>
        <v>2283363</v>
      </c>
    </row>
    <row r="32" spans="1:43">
      <c r="A32" s="35"/>
      <c r="B32" s="37" t="s">
        <v>45</v>
      </c>
      <c r="C32" s="58" t="s">
        <v>108</v>
      </c>
      <c r="D32" s="33" t="s">
        <v>40</v>
      </c>
      <c r="E32" s="94">
        <f>'Basisdaten Reach'!B12+'Basisdaten Reach'!B13</f>
        <v>0</v>
      </c>
      <c r="F32" s="94">
        <f>'Basisdaten Reach'!C12+'Basisdaten Reach'!C13</f>
        <v>0</v>
      </c>
      <c r="G32" s="94">
        <f>'Basisdaten Reach'!D12+'Basisdaten Reach'!D13</f>
        <v>0</v>
      </c>
      <c r="H32" s="94">
        <f>'Basisdaten Reach'!E12+'Basisdaten Reach'!E13</f>
        <v>0</v>
      </c>
      <c r="I32" s="94">
        <f>'Basisdaten Reach'!F12+'Basisdaten Reach'!F13</f>
        <v>0</v>
      </c>
      <c r="J32" s="94">
        <f>'Basisdaten Reach'!G12+'Basisdaten Reach'!G13</f>
        <v>373700</v>
      </c>
      <c r="K32" s="94">
        <f>'Basisdaten Reach'!H12+'Basisdaten Reach'!H13</f>
        <v>1205900</v>
      </c>
      <c r="L32" s="94">
        <f>'Basisdaten Reach'!I12+'Basisdaten Reach'!I13</f>
        <v>2645300</v>
      </c>
      <c r="M32" s="94">
        <f>'Basisdaten Reach'!J12+'Basisdaten Reach'!J13</f>
        <v>3568500</v>
      </c>
      <c r="N32" s="94">
        <f>'Basisdaten Reach'!K12+'Basisdaten Reach'!K13</f>
        <v>2328400</v>
      </c>
      <c r="O32" s="94">
        <f>'Basisdaten Reach'!L12+'Basisdaten Reach'!L13</f>
        <v>1225300</v>
      </c>
      <c r="P32" s="94">
        <f>'Basisdaten Reach'!M12+'Basisdaten Reach'!M13</f>
        <v>1342000</v>
      </c>
      <c r="Q32" s="99">
        <f t="shared" si="9"/>
        <v>12689100</v>
      </c>
      <c r="R32" s="94">
        <f>'Basisdaten Reach'!O12+'Basisdaten Reach'!O13</f>
        <v>2765300</v>
      </c>
      <c r="S32" s="94">
        <f>'Basisdaten Reach'!P12+'Basisdaten Reach'!P13</f>
        <v>2301100</v>
      </c>
      <c r="T32" s="94">
        <f>'Basisdaten Reach'!Q12+'Basisdaten Reach'!Q13</f>
        <v>2717900</v>
      </c>
      <c r="U32" s="94">
        <f>'Basisdaten Reach'!R12+'Basisdaten Reach'!R13</f>
        <v>3002500</v>
      </c>
      <c r="V32" s="94">
        <f>'Basisdaten Reach'!S12+'Basisdaten Reach'!S13</f>
        <v>5540624</v>
      </c>
      <c r="W32" s="94">
        <f>'Basisdaten Reach'!T12+'Basisdaten Reach'!T13</f>
        <v>3543726</v>
      </c>
      <c r="X32" s="94">
        <f>'Basisdaten Reach'!U12+'Basisdaten Reach'!U13</f>
        <v>2368832</v>
      </c>
      <c r="Y32" s="94">
        <f>'Basisdaten Reach'!V12+'Basisdaten Reach'!V13</f>
        <v>2736988</v>
      </c>
      <c r="Z32" s="94">
        <f>'Basisdaten Reach'!W12+'Basisdaten Reach'!W13</f>
        <v>340038</v>
      </c>
      <c r="AA32" s="94">
        <f>'Basisdaten Reach'!X12+'Basisdaten Reach'!X13</f>
        <v>126906</v>
      </c>
      <c r="AB32" s="94">
        <f>'Basisdaten Reach'!Y12+'Basisdaten Reach'!Y13</f>
        <v>381838</v>
      </c>
      <c r="AC32" s="94">
        <f>'Basisdaten Reach'!Z12+'Basisdaten Reach'!Z13</f>
        <v>232987</v>
      </c>
      <c r="AD32" s="99">
        <f t="shared" si="10"/>
        <v>26058739</v>
      </c>
      <c r="AE32" s="94">
        <f>'Basisdaten Reach'!AB12+'Basisdaten Reach'!AB13</f>
        <v>380765</v>
      </c>
      <c r="AF32" s="94">
        <f>'Basisdaten Reach'!AC12+'Basisdaten Reach'!AC13</f>
        <v>20947</v>
      </c>
      <c r="AG32" s="94">
        <f>'Basisdaten Reach'!AD12+'Basisdaten Reach'!AD13</f>
        <v>16846</v>
      </c>
      <c r="AH32" s="94">
        <f>'Basisdaten Reach'!AE12+'Basisdaten Reach'!AE13</f>
        <v>19155</v>
      </c>
      <c r="AI32" s="94">
        <f>'Basisdaten Reach'!AF12+'Basisdaten Reach'!AF13</f>
        <v>24811</v>
      </c>
      <c r="AJ32" s="94">
        <f>'Basisdaten Reach'!AG12+'Basisdaten Reach'!AG13</f>
        <v>15797</v>
      </c>
      <c r="AK32" s="94">
        <f>'Basisdaten Reach'!AH12+'Basisdaten Reach'!AH13</f>
        <v>12178</v>
      </c>
      <c r="AL32" s="94">
        <f>'Basisdaten Reach'!AI12+'Basisdaten Reach'!AI13</f>
        <v>12545</v>
      </c>
      <c r="AM32" s="94">
        <f>'Basisdaten Reach'!AJ12+'Basisdaten Reach'!AJ13</f>
        <v>0</v>
      </c>
      <c r="AN32" s="94">
        <f>'Basisdaten Reach'!AK12+'Basisdaten Reach'!AK13</f>
        <v>0</v>
      </c>
      <c r="AO32" s="94">
        <f>'Basisdaten Reach'!AL12+'Basisdaten Reach'!AL13</f>
        <v>0</v>
      </c>
      <c r="AP32" s="94">
        <f>'Basisdaten Reach'!AM12+'Basisdaten Reach'!AM13</f>
        <v>0</v>
      </c>
      <c r="AQ32" s="99">
        <f t="shared" si="11"/>
        <v>503044</v>
      </c>
    </row>
    <row r="33" spans="1:43">
      <c r="A33" s="35"/>
      <c r="B33" s="37" t="s">
        <v>45</v>
      </c>
      <c r="C33" s="58" t="s">
        <v>15</v>
      </c>
      <c r="D33" s="33" t="s">
        <v>40</v>
      </c>
      <c r="E33" s="94">
        <f>'Basisdaten Reach'!B14</f>
        <v>0</v>
      </c>
      <c r="F33" s="94">
        <f>'Basisdaten Reach'!C14</f>
        <v>0</v>
      </c>
      <c r="G33" s="94">
        <f>'Basisdaten Reach'!D14</f>
        <v>0</v>
      </c>
      <c r="H33" s="94">
        <f>'Basisdaten Reach'!E14</f>
        <v>0</v>
      </c>
      <c r="I33" s="94">
        <f>'Basisdaten Reach'!F14</f>
        <v>199</v>
      </c>
      <c r="J33" s="94">
        <f>'Basisdaten Reach'!G14</f>
        <v>103600</v>
      </c>
      <c r="K33" s="94">
        <f>'Basisdaten Reach'!H14</f>
        <v>142600</v>
      </c>
      <c r="L33" s="94">
        <f>'Basisdaten Reach'!I14</f>
        <v>1500000</v>
      </c>
      <c r="M33" s="94">
        <f>'Basisdaten Reach'!J14</f>
        <v>5100000</v>
      </c>
      <c r="N33" s="94">
        <f>'Basisdaten Reach'!K14</f>
        <v>2300000</v>
      </c>
      <c r="O33" s="94">
        <f>'Basisdaten Reach'!L14</f>
        <v>1900000</v>
      </c>
      <c r="P33" s="94">
        <f>'Basisdaten Reach'!M14</f>
        <v>4000000</v>
      </c>
      <c r="Q33" s="99">
        <f t="shared" si="9"/>
        <v>15046399</v>
      </c>
      <c r="R33" s="94">
        <f>'Basisdaten Reach'!O14</f>
        <v>3200000</v>
      </c>
      <c r="S33" s="94">
        <f>'Basisdaten Reach'!P14</f>
        <v>1300000</v>
      </c>
      <c r="T33" s="94">
        <f>'Basisdaten Reach'!Q14</f>
        <v>1400000</v>
      </c>
      <c r="U33" s="94">
        <f>'Basisdaten Reach'!R14</f>
        <v>1600000</v>
      </c>
      <c r="V33" s="94">
        <f>'Basisdaten Reach'!S14</f>
        <v>2495436</v>
      </c>
      <c r="W33" s="94">
        <f>'Basisdaten Reach'!T14</f>
        <v>2113001</v>
      </c>
      <c r="X33" s="94">
        <f>'Basisdaten Reach'!U14</f>
        <v>3054449</v>
      </c>
      <c r="Y33" s="94">
        <f>'Basisdaten Reach'!V14</f>
        <v>2005900</v>
      </c>
      <c r="Z33" s="94">
        <f>'Basisdaten Reach'!W14</f>
        <v>1137321</v>
      </c>
      <c r="AA33" s="94">
        <f>'Basisdaten Reach'!X14</f>
        <v>922562</v>
      </c>
      <c r="AB33" s="94">
        <f>'Basisdaten Reach'!Y14</f>
        <v>122585</v>
      </c>
      <c r="AC33" s="94">
        <f>'Basisdaten Reach'!Z14</f>
        <v>197532</v>
      </c>
      <c r="AD33" s="99">
        <f t="shared" si="10"/>
        <v>19548786</v>
      </c>
      <c r="AE33" s="94">
        <f>'Basisdaten Reach'!AB14</f>
        <v>292960</v>
      </c>
      <c r="AF33" s="94">
        <f>'Basisdaten Reach'!AC14</f>
        <v>51312</v>
      </c>
      <c r="AG33" s="94">
        <f>'Basisdaten Reach'!AD14</f>
        <v>7938</v>
      </c>
      <c r="AH33" s="94">
        <f>'Basisdaten Reach'!AE14</f>
        <v>7199</v>
      </c>
      <c r="AI33" s="94">
        <f>'Basisdaten Reach'!AF14</f>
        <v>7424</v>
      </c>
      <c r="AJ33" s="94">
        <f>'Basisdaten Reach'!AG14</f>
        <v>8605</v>
      </c>
      <c r="AK33" s="94">
        <f>'Basisdaten Reach'!AH14</f>
        <v>7056</v>
      </c>
      <c r="AL33" s="94">
        <f>'Basisdaten Reach'!AI14</f>
        <v>4826</v>
      </c>
      <c r="AM33" s="94">
        <f>'Basisdaten Reach'!AJ14</f>
        <v>0</v>
      </c>
      <c r="AN33" s="94">
        <f>'Basisdaten Reach'!AK14</f>
        <v>0</v>
      </c>
      <c r="AO33" s="94">
        <f>'Basisdaten Reach'!AL14</f>
        <v>0</v>
      </c>
      <c r="AP33" s="94">
        <f>'Basisdaten Reach'!AM14</f>
        <v>0</v>
      </c>
      <c r="AQ33" s="99">
        <f t="shared" si="11"/>
        <v>387320</v>
      </c>
    </row>
    <row r="34" spans="1:43">
      <c r="A34" s="35"/>
      <c r="B34" s="37" t="s">
        <v>45</v>
      </c>
      <c r="C34" s="58" t="s">
        <v>109</v>
      </c>
      <c r="D34" s="33" t="s">
        <v>40</v>
      </c>
      <c r="E34" s="94">
        <f>'Basisdaten Reach'!B15</f>
        <v>0</v>
      </c>
      <c r="F34" s="94">
        <f>'Basisdaten Reach'!C15</f>
        <v>0</v>
      </c>
      <c r="G34" s="94">
        <f>'Basisdaten Reach'!D15</f>
        <v>0</v>
      </c>
      <c r="H34" s="94">
        <f>'Basisdaten Reach'!E15</f>
        <v>0</v>
      </c>
      <c r="I34" s="94">
        <f>'Basisdaten Reach'!F15</f>
        <v>0</v>
      </c>
      <c r="J34" s="94">
        <f>'Basisdaten Reach'!G15</f>
        <v>127100</v>
      </c>
      <c r="K34" s="94">
        <f>'Basisdaten Reach'!H15</f>
        <v>462300</v>
      </c>
      <c r="L34" s="94">
        <f>'Basisdaten Reach'!I15</f>
        <v>511700</v>
      </c>
      <c r="M34" s="94">
        <f>'Basisdaten Reach'!J15</f>
        <v>683100</v>
      </c>
      <c r="N34" s="94">
        <f>'Basisdaten Reach'!K15</f>
        <v>614800</v>
      </c>
      <c r="O34" s="94">
        <f>'Basisdaten Reach'!L15</f>
        <v>472100</v>
      </c>
      <c r="P34" s="94">
        <f>'Basisdaten Reach'!M15</f>
        <v>639200</v>
      </c>
      <c r="Q34" s="99">
        <f t="shared" si="9"/>
        <v>3510300</v>
      </c>
      <c r="R34" s="94">
        <f>'Basisdaten Reach'!O15</f>
        <v>687800</v>
      </c>
      <c r="S34" s="94">
        <f>'Basisdaten Reach'!P15</f>
        <v>370200</v>
      </c>
      <c r="T34" s="94">
        <f>'Basisdaten Reach'!Q15</f>
        <v>390000</v>
      </c>
      <c r="U34" s="94">
        <f>'Basisdaten Reach'!R15</f>
        <v>362500</v>
      </c>
      <c r="V34" s="94">
        <f>'Basisdaten Reach'!S15</f>
        <v>647548</v>
      </c>
      <c r="W34" s="94">
        <f>'Basisdaten Reach'!T15</f>
        <v>351900</v>
      </c>
      <c r="X34" s="94">
        <f>'Basisdaten Reach'!U15</f>
        <v>594020</v>
      </c>
      <c r="Y34" s="94">
        <f>'Basisdaten Reach'!V15</f>
        <v>616405</v>
      </c>
      <c r="Z34" s="94">
        <f>'Basisdaten Reach'!W15</f>
        <v>334212</v>
      </c>
      <c r="AA34" s="94">
        <f>'Basisdaten Reach'!X15</f>
        <v>191625</v>
      </c>
      <c r="AB34" s="94">
        <f>'Basisdaten Reach'!Y15</f>
        <v>410132</v>
      </c>
      <c r="AC34" s="94">
        <f>'Basisdaten Reach'!Z15</f>
        <v>167998</v>
      </c>
      <c r="AD34" s="99">
        <f t="shared" si="10"/>
        <v>5124340</v>
      </c>
      <c r="AE34" s="94">
        <f>'Basisdaten Reach'!AB15</f>
        <v>7734</v>
      </c>
      <c r="AF34" s="94">
        <f>'Basisdaten Reach'!AC15</f>
        <v>1483</v>
      </c>
      <c r="AG34" s="94">
        <f>'Basisdaten Reach'!AD15</f>
        <v>1410</v>
      </c>
      <c r="AH34" s="94">
        <f>'Basisdaten Reach'!AE15</f>
        <v>1377</v>
      </c>
      <c r="AI34" s="94">
        <f>'Basisdaten Reach'!AF15</f>
        <v>3005</v>
      </c>
      <c r="AJ34" s="94">
        <f>'Basisdaten Reach'!AG15</f>
        <v>2471</v>
      </c>
      <c r="AK34" s="94">
        <f>'Basisdaten Reach'!AH15</f>
        <v>1296</v>
      </c>
      <c r="AL34" s="94">
        <f>'Basisdaten Reach'!AI15</f>
        <v>1016</v>
      </c>
      <c r="AM34" s="94">
        <f>'Basisdaten Reach'!AJ15</f>
        <v>0</v>
      </c>
      <c r="AN34" s="94">
        <f>'Basisdaten Reach'!AK15</f>
        <v>0</v>
      </c>
      <c r="AO34" s="94">
        <f>'Basisdaten Reach'!AL15</f>
        <v>0</v>
      </c>
      <c r="AP34" s="94">
        <f>'Basisdaten Reach'!AM15</f>
        <v>0</v>
      </c>
      <c r="AQ34" s="99">
        <f t="shared" si="11"/>
        <v>19792</v>
      </c>
    </row>
    <row r="35" spans="1:43">
      <c r="A35" s="35"/>
      <c r="B35" s="88" t="s">
        <v>111</v>
      </c>
      <c r="C35" s="65" t="s">
        <v>108</v>
      </c>
      <c r="D35" s="86" t="s">
        <v>39</v>
      </c>
      <c r="E35" s="93">
        <f>'Basisdaten Reach'!B34+'Basisdaten Reach'!B35+'Basisdaten Reach'!B36</f>
        <v>0</v>
      </c>
      <c r="F35" s="93">
        <f>'Basisdaten Reach'!C34+'Basisdaten Reach'!C35</f>
        <v>0</v>
      </c>
      <c r="G35" s="93">
        <f>'Basisdaten Reach'!D34+'Basisdaten Reach'!D35</f>
        <v>0</v>
      </c>
      <c r="H35" s="93">
        <f>'Basisdaten Reach'!E34+'Basisdaten Reach'!E35</f>
        <v>0</v>
      </c>
      <c r="I35" s="93">
        <f>'Basisdaten Reach'!F34+'Basisdaten Reach'!F35</f>
        <v>0</v>
      </c>
      <c r="J35" s="93">
        <f>'Basisdaten Reach'!G34+'Basisdaten Reach'!G35</f>
        <v>0</v>
      </c>
      <c r="K35" s="93">
        <f>'Basisdaten Reach'!H34+'Basisdaten Reach'!H35</f>
        <v>6650000</v>
      </c>
      <c r="L35" s="93">
        <f>'Basisdaten Reach'!I34+'Basisdaten Reach'!I35</f>
        <v>8640000</v>
      </c>
      <c r="M35" s="93">
        <f>'Basisdaten Reach'!J34+'Basisdaten Reach'!J35</f>
        <v>5620000</v>
      </c>
      <c r="N35" s="93">
        <f>'Basisdaten Reach'!K34+'Basisdaten Reach'!K35</f>
        <v>8855000</v>
      </c>
      <c r="O35" s="93">
        <f>'Basisdaten Reach'!L34+'Basisdaten Reach'!L35</f>
        <v>6101000</v>
      </c>
      <c r="P35" s="93">
        <f>'Basisdaten Reach'!M34+'Basisdaten Reach'!M35</f>
        <v>5190000</v>
      </c>
      <c r="Q35" s="98">
        <f t="shared" si="9"/>
        <v>41056000</v>
      </c>
      <c r="R35" s="93">
        <f>'Basisdaten Reach'!O34+'Basisdaten Reach'!O35+'Basisdaten Reach'!O36</f>
        <v>6062000</v>
      </c>
      <c r="S35" s="93">
        <f>'Basisdaten Reach'!P34+'Basisdaten Reach'!P35+'Basisdaten Reach'!P36</f>
        <v>2508030</v>
      </c>
      <c r="T35" s="93">
        <f>'Basisdaten Reach'!Q34+'Basisdaten Reach'!Q35+'Basisdaten Reach'!Q36</f>
        <v>2055000</v>
      </c>
      <c r="U35" s="93">
        <f>'Basisdaten Reach'!R34+'Basisdaten Reach'!R35+'Basisdaten Reach'!R36</f>
        <v>4385000</v>
      </c>
      <c r="V35" s="93">
        <f>'Basisdaten Reach'!S34+'Basisdaten Reach'!S35+'Basisdaten Reach'!S36</f>
        <v>8699000</v>
      </c>
      <c r="W35" s="93">
        <f>'Basisdaten Reach'!T34+'Basisdaten Reach'!T35+'Basisdaten Reach'!T36</f>
        <v>5356000</v>
      </c>
      <c r="X35" s="93">
        <f>'Basisdaten Reach'!U34+'Basisdaten Reach'!U35+'Basisdaten Reach'!U36</f>
        <v>4825000</v>
      </c>
      <c r="Y35" s="93">
        <f>'Basisdaten Reach'!V34+'Basisdaten Reach'!V35+'Basisdaten Reach'!V36</f>
        <v>790700</v>
      </c>
      <c r="Z35" s="93">
        <f>'Basisdaten Reach'!W34+'Basisdaten Reach'!W35+'Basisdaten Reach'!W36</f>
        <v>2769000</v>
      </c>
      <c r="AA35" s="93">
        <f>'Basisdaten Reach'!X34+'Basisdaten Reach'!X35+'Basisdaten Reach'!X36</f>
        <v>1213000</v>
      </c>
      <c r="AB35" s="93">
        <f>'Basisdaten Reach'!Y34+'Basisdaten Reach'!Y35+'Basisdaten Reach'!Y36</f>
        <v>570000</v>
      </c>
      <c r="AC35" s="93">
        <f>'Basisdaten Reach'!Z34+'Basisdaten Reach'!Z35+'Basisdaten Reach'!Z36</f>
        <v>643000</v>
      </c>
      <c r="AD35" s="98">
        <f t="shared" si="10"/>
        <v>39875730</v>
      </c>
      <c r="AE35" s="93">
        <f>'Basisdaten Reach'!AB34+'Basisdaten Reach'!AB35+'Basisdaten Reach'!AB36</f>
        <v>67460</v>
      </c>
      <c r="AF35" s="93">
        <f>'Basisdaten Reach'!AC34+'Basisdaten Reach'!AC35+'Basisdaten Reach'!AC36</f>
        <v>62630</v>
      </c>
      <c r="AG35" s="93">
        <f>'Basisdaten Reach'!AD34+'Basisdaten Reach'!AD35+'Basisdaten Reach'!AD36</f>
        <v>130430</v>
      </c>
      <c r="AH35" s="93">
        <f>'Basisdaten Reach'!AE34+'Basisdaten Reach'!AE35+'Basisdaten Reach'!AE36</f>
        <v>143647</v>
      </c>
      <c r="AI35" s="93">
        <f>'Basisdaten Reach'!AF34+'Basisdaten Reach'!AF35+'Basisdaten Reach'!AF36</f>
        <v>235264</v>
      </c>
      <c r="AJ35" s="93">
        <f>'Basisdaten Reach'!AG34+'Basisdaten Reach'!AG35+'Basisdaten Reach'!AG36</f>
        <v>0</v>
      </c>
      <c r="AK35" s="93">
        <f>'Basisdaten Reach'!AH34+'Basisdaten Reach'!AH35+'Basisdaten Reach'!AH36</f>
        <v>0</v>
      </c>
      <c r="AL35" s="93">
        <f>'Basisdaten Reach'!AI34+'Basisdaten Reach'!AI35+'Basisdaten Reach'!AI36</f>
        <v>0</v>
      </c>
      <c r="AM35" s="93">
        <f>'Basisdaten Reach'!AJ34+'Basisdaten Reach'!AJ35+'Basisdaten Reach'!AJ36</f>
        <v>0</v>
      </c>
      <c r="AN35" s="93">
        <f>'Basisdaten Reach'!AK34+'Basisdaten Reach'!AK35+'Basisdaten Reach'!AK36</f>
        <v>0</v>
      </c>
      <c r="AO35" s="93">
        <f>'Basisdaten Reach'!AL34+'Basisdaten Reach'!AL35+'Basisdaten Reach'!AL36</f>
        <v>0</v>
      </c>
      <c r="AP35" s="93">
        <f>'Basisdaten Reach'!AM34+'Basisdaten Reach'!AM35+'Basisdaten Reach'!AM36</f>
        <v>0</v>
      </c>
      <c r="AQ35" s="98">
        <f t="shared" si="11"/>
        <v>639431</v>
      </c>
    </row>
    <row r="36" spans="1:43">
      <c r="A36" s="35"/>
      <c r="B36" s="88" t="s">
        <v>112</v>
      </c>
      <c r="C36" s="65" t="s">
        <v>15</v>
      </c>
      <c r="D36" s="86" t="s">
        <v>39</v>
      </c>
      <c r="E36" s="93">
        <f>'Basisdaten Reach'!B37</f>
        <v>0</v>
      </c>
      <c r="F36" s="93">
        <f>'Basisdaten Reach'!C37</f>
        <v>0</v>
      </c>
      <c r="G36" s="93">
        <f>'Basisdaten Reach'!D37</f>
        <v>0</v>
      </c>
      <c r="H36" s="93">
        <f>'Basisdaten Reach'!E37</f>
        <v>0</v>
      </c>
      <c r="I36" s="93">
        <f>'Basisdaten Reach'!F37</f>
        <v>0</v>
      </c>
      <c r="J36" s="93">
        <f>'Basisdaten Reach'!G37</f>
        <v>0</v>
      </c>
      <c r="K36" s="93">
        <f>'Basisdaten Reach'!H37</f>
        <v>0</v>
      </c>
      <c r="L36" s="93">
        <f>'Basisdaten Reach'!I37</f>
        <v>0</v>
      </c>
      <c r="M36" s="93">
        <f>'Basisdaten Reach'!J37</f>
        <v>0</v>
      </c>
      <c r="N36" s="93">
        <f>'Basisdaten Reach'!K37</f>
        <v>500</v>
      </c>
      <c r="O36" s="93">
        <f>'Basisdaten Reach'!L37</f>
        <v>67400</v>
      </c>
      <c r="P36" s="93">
        <f>'Basisdaten Reach'!M37</f>
        <v>559000</v>
      </c>
      <c r="Q36" s="98">
        <f t="shared" si="9"/>
        <v>626900</v>
      </c>
      <c r="R36" s="93">
        <f>'Basisdaten Reach'!O37</f>
        <v>1170000</v>
      </c>
      <c r="S36" s="93">
        <f>'Basisdaten Reach'!P37</f>
        <v>386000</v>
      </c>
      <c r="T36" s="93">
        <f>'Basisdaten Reach'!Q37</f>
        <v>197000</v>
      </c>
      <c r="U36" s="93">
        <f>'Basisdaten Reach'!R37</f>
        <v>610000</v>
      </c>
      <c r="V36" s="93">
        <f>'Basisdaten Reach'!S37</f>
        <v>1470000</v>
      </c>
      <c r="W36" s="93">
        <f>'Basisdaten Reach'!T37</f>
        <v>687000</v>
      </c>
      <c r="X36" s="93">
        <f>'Basisdaten Reach'!U37</f>
        <v>488000</v>
      </c>
      <c r="Y36" s="93">
        <f>'Basisdaten Reach'!V37</f>
        <v>320000</v>
      </c>
      <c r="Z36" s="93">
        <f>'Basisdaten Reach'!W37</f>
        <v>317000</v>
      </c>
      <c r="AA36" s="93">
        <f>'Basisdaten Reach'!X37</f>
        <v>227000</v>
      </c>
      <c r="AB36" s="93">
        <f>'Basisdaten Reach'!Y37</f>
        <v>276000</v>
      </c>
      <c r="AC36" s="93">
        <f>'Basisdaten Reach'!Z37</f>
        <v>371000</v>
      </c>
      <c r="AD36" s="98">
        <f t="shared" si="10"/>
        <v>6519000</v>
      </c>
      <c r="AE36" s="93">
        <f>'Basisdaten Reach'!AB37</f>
        <v>47200</v>
      </c>
      <c r="AF36" s="93">
        <f>'Basisdaten Reach'!AC37</f>
        <v>38900</v>
      </c>
      <c r="AG36" s="93">
        <f>'Basisdaten Reach'!AD37</f>
        <v>59000</v>
      </c>
      <c r="AH36" s="93">
        <f>'Basisdaten Reach'!AE37</f>
        <v>78800</v>
      </c>
      <c r="AI36" s="93">
        <f>'Basisdaten Reach'!AF37</f>
        <v>14300</v>
      </c>
      <c r="AJ36" s="93">
        <f>'Basisdaten Reach'!AG37</f>
        <v>0</v>
      </c>
      <c r="AK36" s="93">
        <f>'Basisdaten Reach'!AH37</f>
        <v>0</v>
      </c>
      <c r="AL36" s="93">
        <f>'Basisdaten Reach'!AI37</f>
        <v>0</v>
      </c>
      <c r="AM36" s="93">
        <f>'Basisdaten Reach'!AJ37</f>
        <v>0</v>
      </c>
      <c r="AN36" s="93">
        <f>'Basisdaten Reach'!AK37</f>
        <v>0</v>
      </c>
      <c r="AO36" s="93">
        <f>'Basisdaten Reach'!AL37</f>
        <v>0</v>
      </c>
      <c r="AP36" s="93">
        <f>'Basisdaten Reach'!AM37</f>
        <v>0</v>
      </c>
      <c r="AQ36" s="98">
        <f t="shared" si="11"/>
        <v>238200</v>
      </c>
    </row>
    <row r="37" spans="1:43">
      <c r="A37" s="35"/>
      <c r="B37" s="88" t="s">
        <v>112</v>
      </c>
      <c r="C37" s="65" t="s">
        <v>109</v>
      </c>
      <c r="D37" s="86" t="s">
        <v>39</v>
      </c>
      <c r="E37" s="93">
        <f>'Basisdaten Reach'!B38</f>
        <v>0</v>
      </c>
      <c r="F37" s="93">
        <f>'Basisdaten Reach'!C38</f>
        <v>0</v>
      </c>
      <c r="G37" s="93">
        <f>'Basisdaten Reach'!D38</f>
        <v>0</v>
      </c>
      <c r="H37" s="93">
        <f>'Basisdaten Reach'!E38</f>
        <v>0</v>
      </c>
      <c r="I37" s="93">
        <f>'Basisdaten Reach'!F38</f>
        <v>0</v>
      </c>
      <c r="J37" s="93">
        <f>'Basisdaten Reach'!G38</f>
        <v>0</v>
      </c>
      <c r="K37" s="93">
        <f>'Basisdaten Reach'!H38</f>
        <v>0</v>
      </c>
      <c r="L37" s="93">
        <f>'Basisdaten Reach'!I38</f>
        <v>0</v>
      </c>
      <c r="M37" s="93">
        <f>'Basisdaten Reach'!J38</f>
        <v>0</v>
      </c>
      <c r="N37" s="93">
        <f>'Basisdaten Reach'!K38</f>
        <v>500</v>
      </c>
      <c r="O37" s="93">
        <f>'Basisdaten Reach'!L38</f>
        <v>91800</v>
      </c>
      <c r="P37" s="93">
        <f>'Basisdaten Reach'!M38</f>
        <v>127000</v>
      </c>
      <c r="Q37" s="98">
        <f t="shared" si="9"/>
        <v>219300</v>
      </c>
      <c r="R37" s="93">
        <f>'Basisdaten Reach'!O38</f>
        <v>308000</v>
      </c>
      <c r="S37" s="93">
        <f>'Basisdaten Reach'!P38</f>
        <v>244000</v>
      </c>
      <c r="T37" s="93">
        <f>'Basisdaten Reach'!Q38</f>
        <v>124000</v>
      </c>
      <c r="U37" s="93">
        <f>'Basisdaten Reach'!R38</f>
        <v>640000</v>
      </c>
      <c r="V37" s="93">
        <f>'Basisdaten Reach'!S38</f>
        <v>531000</v>
      </c>
      <c r="W37" s="93">
        <f>'Basisdaten Reach'!T38</f>
        <v>356000</v>
      </c>
      <c r="X37" s="93">
        <f>'Basisdaten Reach'!U38</f>
        <v>242000</v>
      </c>
      <c r="Y37" s="93">
        <f>'Basisdaten Reach'!V38</f>
        <v>458000</v>
      </c>
      <c r="Z37" s="93">
        <f>'Basisdaten Reach'!W38</f>
        <v>503000</v>
      </c>
      <c r="AA37" s="93">
        <f>'Basisdaten Reach'!X38</f>
        <v>116000</v>
      </c>
      <c r="AB37" s="93">
        <f>'Basisdaten Reach'!Y38</f>
        <v>205000</v>
      </c>
      <c r="AC37" s="93">
        <f>'Basisdaten Reach'!Z38</f>
        <v>25800</v>
      </c>
      <c r="AD37" s="98">
        <f t="shared" si="10"/>
        <v>3752800</v>
      </c>
      <c r="AE37" s="93">
        <f>'Basisdaten Reach'!AB38</f>
        <v>357</v>
      </c>
      <c r="AF37" s="93">
        <f>'Basisdaten Reach'!AC38</f>
        <v>244</v>
      </c>
      <c r="AG37" s="93">
        <f>'Basisdaten Reach'!AD38</f>
        <v>336</v>
      </c>
      <c r="AH37" s="93">
        <f>'Basisdaten Reach'!AE38</f>
        <v>162</v>
      </c>
      <c r="AI37" s="93">
        <f>'Basisdaten Reach'!AF38</f>
        <v>60</v>
      </c>
      <c r="AJ37" s="93">
        <f>'Basisdaten Reach'!AG38</f>
        <v>0</v>
      </c>
      <c r="AK37" s="93">
        <f>'Basisdaten Reach'!AH38</f>
        <v>0</v>
      </c>
      <c r="AL37" s="93">
        <f>'Basisdaten Reach'!AI38</f>
        <v>0</v>
      </c>
      <c r="AM37" s="93">
        <f>'Basisdaten Reach'!AJ38</f>
        <v>0</v>
      </c>
      <c r="AN37" s="93">
        <f>'Basisdaten Reach'!AK38</f>
        <v>0</v>
      </c>
      <c r="AO37" s="93">
        <f>'Basisdaten Reach'!AL38</f>
        <v>0</v>
      </c>
      <c r="AP37" s="93">
        <f>'Basisdaten Reach'!AM38</f>
        <v>0</v>
      </c>
      <c r="AQ37" s="98">
        <f t="shared" si="11"/>
        <v>1159</v>
      </c>
    </row>
    <row r="38" spans="1:43">
      <c r="A38" s="35"/>
      <c r="B38" s="33" t="s">
        <v>37</v>
      </c>
      <c r="C38" s="58" t="s">
        <v>108</v>
      </c>
      <c r="D38" s="33" t="s">
        <v>40</v>
      </c>
      <c r="E38" s="94">
        <f>'Basisdaten Reach'!B44</f>
        <v>4152631</v>
      </c>
      <c r="F38" s="94">
        <f>'Basisdaten Reach'!C44</f>
        <v>3696119</v>
      </c>
      <c r="G38" s="94">
        <f>'Basisdaten Reach'!D44</f>
        <v>4517138</v>
      </c>
      <c r="H38" s="94">
        <f>'Basisdaten Reach'!E44</f>
        <v>6198935</v>
      </c>
      <c r="I38" s="94">
        <f>'Basisdaten Reach'!F44</f>
        <v>6095362</v>
      </c>
      <c r="J38" s="94">
        <f>'Basisdaten Reach'!G44</f>
        <v>5350511</v>
      </c>
      <c r="K38" s="94">
        <f>'Basisdaten Reach'!H44</f>
        <v>1604035</v>
      </c>
      <c r="L38" s="94">
        <f>'Basisdaten Reach'!I44</f>
        <v>4918371</v>
      </c>
      <c r="M38" s="94">
        <f>'Basisdaten Reach'!J44</f>
        <v>10188705</v>
      </c>
      <c r="N38" s="94">
        <f>'Basisdaten Reach'!K44</f>
        <v>6023467</v>
      </c>
      <c r="O38" s="94">
        <f>'Basisdaten Reach'!L44</f>
        <v>5993992</v>
      </c>
      <c r="P38" s="94">
        <f>'Basisdaten Reach'!M44</f>
        <v>6420262</v>
      </c>
      <c r="Q38" s="99">
        <f t="shared" si="9"/>
        <v>65159528</v>
      </c>
      <c r="R38" s="94">
        <f>'Basisdaten Reach'!O44</f>
        <v>6870964</v>
      </c>
      <c r="S38" s="94">
        <f>'Basisdaten Reach'!P44</f>
        <v>5639033</v>
      </c>
      <c r="T38" s="94">
        <f>'Basisdaten Reach'!Q44</f>
        <v>6759785</v>
      </c>
      <c r="U38" s="94">
        <f>'Basisdaten Reach'!R44</f>
        <v>6203894</v>
      </c>
      <c r="V38" s="94">
        <f>'Basisdaten Reach'!S44</f>
        <v>5521905</v>
      </c>
      <c r="W38" s="94">
        <f>'Basisdaten Reach'!T44</f>
        <v>3904790</v>
      </c>
      <c r="X38" s="94">
        <f>'Basisdaten Reach'!U44</f>
        <v>2832733</v>
      </c>
      <c r="Y38" s="94">
        <f>'Basisdaten Reach'!V44</f>
        <v>2862708</v>
      </c>
      <c r="Z38" s="94">
        <f>'Basisdaten Reach'!W44</f>
        <v>2440695</v>
      </c>
      <c r="AA38" s="94">
        <f>'Basisdaten Reach'!X44</f>
        <v>2598005</v>
      </c>
      <c r="AB38" s="94">
        <f>'Basisdaten Reach'!Y44</f>
        <v>2315956</v>
      </c>
      <c r="AC38" s="94">
        <f>'Basisdaten Reach'!Z44</f>
        <v>1945333</v>
      </c>
      <c r="AD38" s="99">
        <f t="shared" si="10"/>
        <v>49895801</v>
      </c>
      <c r="AE38" s="94">
        <f>'Basisdaten Reach'!AB44</f>
        <v>2891201</v>
      </c>
      <c r="AF38" s="94">
        <f>'Basisdaten Reach'!AC44</f>
        <v>2300539</v>
      </c>
      <c r="AG38" s="94">
        <f>'Basisdaten Reach'!AD44</f>
        <v>2509330</v>
      </c>
      <c r="AH38" s="94">
        <f>'Basisdaten Reach'!AE44</f>
        <v>2165081</v>
      </c>
      <c r="AI38" s="94">
        <f>'Basisdaten Reach'!AF44</f>
        <v>1867605</v>
      </c>
      <c r="AJ38" s="94">
        <f>'Basisdaten Reach'!AG44</f>
        <v>0</v>
      </c>
      <c r="AK38" s="94">
        <f>'Basisdaten Reach'!AH44</f>
        <v>0</v>
      </c>
      <c r="AL38" s="94">
        <f>'Basisdaten Reach'!AI44</f>
        <v>0</v>
      </c>
      <c r="AM38" s="94">
        <f>'Basisdaten Reach'!AJ44</f>
        <v>0</v>
      </c>
      <c r="AN38" s="94">
        <f>'Basisdaten Reach'!AK44</f>
        <v>0</v>
      </c>
      <c r="AO38" s="94">
        <f>'Basisdaten Reach'!AL44</f>
        <v>0</v>
      </c>
      <c r="AP38" s="94">
        <f>'Basisdaten Reach'!AM44</f>
        <v>0</v>
      </c>
      <c r="AQ38" s="99">
        <f t="shared" si="11"/>
        <v>11733756</v>
      </c>
    </row>
    <row r="39" spans="1:43">
      <c r="A39" s="35"/>
      <c r="B39" s="33" t="s">
        <v>37</v>
      </c>
      <c r="C39" s="58" t="s">
        <v>15</v>
      </c>
      <c r="D39" s="33" t="s">
        <v>40</v>
      </c>
      <c r="E39" s="94">
        <f>'Basisdaten Reach'!B54</f>
        <v>853388</v>
      </c>
      <c r="F39" s="94">
        <f>'Basisdaten Reach'!C54</f>
        <v>1047160</v>
      </c>
      <c r="G39" s="94">
        <f>'Basisdaten Reach'!D54</f>
        <v>627075</v>
      </c>
      <c r="H39" s="94">
        <f>'Basisdaten Reach'!E54</f>
        <v>696084</v>
      </c>
      <c r="I39" s="94">
        <f>'Basisdaten Reach'!F54</f>
        <v>293761</v>
      </c>
      <c r="J39" s="94">
        <f>'Basisdaten Reach'!G54</f>
        <v>609437</v>
      </c>
      <c r="K39" s="94">
        <f>'Basisdaten Reach'!H54</f>
        <v>758637</v>
      </c>
      <c r="L39" s="94">
        <f>'Basisdaten Reach'!I54</f>
        <v>716124</v>
      </c>
      <c r="M39" s="94">
        <f>'Basisdaten Reach'!J54</f>
        <v>2095582</v>
      </c>
      <c r="N39" s="94">
        <f>'Basisdaten Reach'!K54</f>
        <v>491901</v>
      </c>
      <c r="O39" s="94">
        <f>'Basisdaten Reach'!L54</f>
        <v>469978</v>
      </c>
      <c r="P39" s="94">
        <f>'Basisdaten Reach'!M54</f>
        <v>521952</v>
      </c>
      <c r="Q39" s="99">
        <f t="shared" si="9"/>
        <v>9181079</v>
      </c>
      <c r="R39" s="94">
        <f>'Basisdaten Reach'!O54</f>
        <v>408569</v>
      </c>
      <c r="S39" s="94">
        <f>'Basisdaten Reach'!P54</f>
        <v>311924</v>
      </c>
      <c r="T39" s="94">
        <f>'Basisdaten Reach'!Q54</f>
        <v>386037</v>
      </c>
      <c r="U39" s="94">
        <f>'Basisdaten Reach'!R54</f>
        <v>186717</v>
      </c>
      <c r="V39" s="94">
        <f>'Basisdaten Reach'!S54</f>
        <v>155421</v>
      </c>
      <c r="W39" s="94">
        <f>'Basisdaten Reach'!T54</f>
        <v>107030</v>
      </c>
      <c r="X39" s="94">
        <f>'Basisdaten Reach'!U54</f>
        <v>84099</v>
      </c>
      <c r="Y39" s="94">
        <f>'Basisdaten Reach'!V54</f>
        <v>101382</v>
      </c>
      <c r="Z39" s="94">
        <f>'Basisdaten Reach'!W54</f>
        <v>87192</v>
      </c>
      <c r="AA39" s="94">
        <f>'Basisdaten Reach'!X54</f>
        <v>96025</v>
      </c>
      <c r="AB39" s="94">
        <f>'Basisdaten Reach'!Y54</f>
        <v>91793</v>
      </c>
      <c r="AC39" s="94">
        <f>'Basisdaten Reach'!Z54</f>
        <v>72799</v>
      </c>
      <c r="AD39" s="99">
        <f t="shared" si="10"/>
        <v>2088988</v>
      </c>
      <c r="AE39" s="94">
        <f>'Basisdaten Reach'!AB54</f>
        <v>85211</v>
      </c>
      <c r="AF39" s="94">
        <f>'Basisdaten Reach'!AC54</f>
        <v>56045</v>
      </c>
      <c r="AG39" s="94">
        <f>'Basisdaten Reach'!AD54</f>
        <v>49532</v>
      </c>
      <c r="AH39" s="94">
        <f>'Basisdaten Reach'!AE54</f>
        <v>41227</v>
      </c>
      <c r="AI39" s="94">
        <f>'Basisdaten Reach'!AF54</f>
        <v>49040</v>
      </c>
      <c r="AJ39" s="94">
        <f>'Basisdaten Reach'!AG54</f>
        <v>0</v>
      </c>
      <c r="AK39" s="94">
        <f>'Basisdaten Reach'!AH54</f>
        <v>0</v>
      </c>
      <c r="AL39" s="94">
        <f>'Basisdaten Reach'!AI54</f>
        <v>0</v>
      </c>
      <c r="AM39" s="94">
        <f>'Basisdaten Reach'!AJ54</f>
        <v>0</v>
      </c>
      <c r="AN39" s="94">
        <f>'Basisdaten Reach'!AK54</f>
        <v>0</v>
      </c>
      <c r="AO39" s="94">
        <f>'Basisdaten Reach'!AL54</f>
        <v>0</v>
      </c>
      <c r="AP39" s="94">
        <f>'Basisdaten Reach'!AM54</f>
        <v>0</v>
      </c>
      <c r="AQ39" s="99">
        <f t="shared" si="11"/>
        <v>281055</v>
      </c>
    </row>
    <row r="40" spans="1:43">
      <c r="A40" s="35"/>
      <c r="B40" s="33" t="s">
        <v>37</v>
      </c>
      <c r="C40" s="59" t="s">
        <v>109</v>
      </c>
      <c r="D40" s="33" t="s">
        <v>40</v>
      </c>
      <c r="E40" s="94">
        <f>'Basisdaten Reach'!B58</f>
        <v>1631028</v>
      </c>
      <c r="F40" s="94">
        <f>'Basisdaten Reach'!C58</f>
        <v>804554</v>
      </c>
      <c r="G40" s="94">
        <f>'Basisdaten Reach'!D58</f>
        <v>378000</v>
      </c>
      <c r="H40" s="94">
        <f>'Basisdaten Reach'!E58</f>
        <v>605219</v>
      </c>
      <c r="I40" s="94">
        <f>'Basisdaten Reach'!F58</f>
        <v>263222</v>
      </c>
      <c r="J40" s="94">
        <f>'Basisdaten Reach'!G58</f>
        <v>549776</v>
      </c>
      <c r="K40" s="94">
        <f>'Basisdaten Reach'!H58</f>
        <v>797137</v>
      </c>
      <c r="L40" s="94">
        <f>'Basisdaten Reach'!I58</f>
        <v>949951</v>
      </c>
      <c r="M40" s="94">
        <f>'Basisdaten Reach'!J58</f>
        <v>9762010</v>
      </c>
      <c r="N40" s="94">
        <f>'Basisdaten Reach'!K58</f>
        <v>1630981</v>
      </c>
      <c r="O40" s="94">
        <f>'Basisdaten Reach'!L58</f>
        <v>1117823</v>
      </c>
      <c r="P40" s="94">
        <f>'Basisdaten Reach'!M58</f>
        <v>1257608</v>
      </c>
      <c r="Q40" s="99">
        <f t="shared" si="9"/>
        <v>19747309</v>
      </c>
      <c r="R40" s="94">
        <f>'Basisdaten Reach'!O58</f>
        <v>1934267</v>
      </c>
      <c r="S40" s="94">
        <f>'Basisdaten Reach'!P58</f>
        <v>1584129</v>
      </c>
      <c r="T40" s="94">
        <f>'Basisdaten Reach'!Q58</f>
        <v>2140805</v>
      </c>
      <c r="U40" s="94">
        <f>'Basisdaten Reach'!R58</f>
        <v>1252477</v>
      </c>
      <c r="V40" s="94">
        <f>'Basisdaten Reach'!S58</f>
        <v>1719472</v>
      </c>
      <c r="W40" s="94">
        <f>'Basisdaten Reach'!T58</f>
        <v>1292925</v>
      </c>
      <c r="X40" s="94">
        <f>'Basisdaten Reach'!U58</f>
        <v>1511222</v>
      </c>
      <c r="Y40" s="94">
        <f>'Basisdaten Reach'!V58</f>
        <v>1398853</v>
      </c>
      <c r="Z40" s="94">
        <f>'Basisdaten Reach'!W58</f>
        <v>1622744</v>
      </c>
      <c r="AA40" s="94">
        <f>'Basisdaten Reach'!X58</f>
        <v>841349</v>
      </c>
      <c r="AB40" s="94">
        <f>'Basisdaten Reach'!Y58</f>
        <v>643847</v>
      </c>
      <c r="AC40" s="94">
        <f>'Basisdaten Reach'!Z58</f>
        <v>387289</v>
      </c>
      <c r="AD40" s="99">
        <f t="shared" si="10"/>
        <v>16329379</v>
      </c>
      <c r="AE40" s="94">
        <f>'Basisdaten Reach'!AB58</f>
        <v>274407</v>
      </c>
      <c r="AF40" s="94">
        <f>'Basisdaten Reach'!AC58</f>
        <v>439460</v>
      </c>
      <c r="AG40" s="94">
        <f>'Basisdaten Reach'!AD58</f>
        <v>177086</v>
      </c>
      <c r="AH40" s="94">
        <f>'Basisdaten Reach'!AE58</f>
        <v>266570</v>
      </c>
      <c r="AI40" s="94">
        <f>'Basisdaten Reach'!AF58</f>
        <v>313504</v>
      </c>
      <c r="AJ40" s="94">
        <f>'Basisdaten Reach'!AG58</f>
        <v>0</v>
      </c>
      <c r="AK40" s="94">
        <f>'Basisdaten Reach'!AH58</f>
        <v>0</v>
      </c>
      <c r="AL40" s="94">
        <f>'Basisdaten Reach'!AI58</f>
        <v>0</v>
      </c>
      <c r="AM40" s="94">
        <f>'Basisdaten Reach'!AJ58</f>
        <v>0</v>
      </c>
      <c r="AN40" s="94">
        <f>'Basisdaten Reach'!AK58</f>
        <v>0</v>
      </c>
      <c r="AO40" s="94">
        <f>'Basisdaten Reach'!AL58</f>
        <v>0</v>
      </c>
      <c r="AP40" s="94">
        <f>'Basisdaten Reach'!AM58</f>
        <v>0</v>
      </c>
      <c r="AQ40" s="99">
        <f t="shared" si="11"/>
        <v>1471027</v>
      </c>
    </row>
    <row r="41" spans="1:43">
      <c r="A41" s="35"/>
      <c r="B41" s="71"/>
      <c r="C41" s="70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0"/>
    </row>
  </sheetData>
  <autoFilter ref="B7:P40" xr:uid="{4A07C1ED-1F4D-4233-AF21-56B174098428}">
    <sortState xmlns:xlrd2="http://schemas.microsoft.com/office/spreadsheetml/2017/richdata2" ref="B8:P42">
      <sortCondition ref="B7:B18"/>
    </sortState>
  </autoFilter>
  <mergeCells count="1">
    <mergeCell ref="B2:B4"/>
  </mergeCells>
  <conditionalFormatting sqref="B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P41">
    <cfRule type="cellIs" dxfId="39" priority="51" stopIfTrue="1" operator="equal">
      <formula>0</formula>
    </cfRule>
  </conditionalFormatting>
  <conditionalFormatting sqref="L8:P10">
    <cfRule type="cellIs" dxfId="38" priority="83" stopIfTrue="1" operator="equal">
      <formula>0</formula>
    </cfRule>
  </conditionalFormatting>
  <conditionalFormatting sqref="L23:P25">
    <cfRule type="cellIs" dxfId="37" priority="74" stopIfTrue="1" operator="equal">
      <formula>0</formula>
    </cfRule>
  </conditionalFormatting>
  <conditionalFormatting sqref="Q8:AQ40">
    <cfRule type="cellIs" dxfId="3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82AE-289D-420C-9572-F1944F9902E5}">
  <sheetPr>
    <tabColor theme="8" tint="-0.499984740745262"/>
  </sheetPr>
  <dimension ref="A1:AQ40"/>
  <sheetViews>
    <sheetView showGridLines="0" zoomScale="106" zoomScaleNormal="106" workbookViewId="0">
      <pane xSplit="4" ySplit="7" topLeftCell="X8" activePane="bottomRight" state="frozen"/>
      <selection activeCell="D6" sqref="D6"/>
      <selection pane="topRight" activeCell="D6" sqref="D6"/>
      <selection pane="bottomLeft" activeCell="D6" sqref="D6"/>
      <selection pane="bottomRight" activeCell="AE8" sqref="AE8"/>
    </sheetView>
  </sheetViews>
  <sheetFormatPr baseColWidth="10" defaultColWidth="11.42578125" defaultRowHeight="12.75" outlineLevelCol="1"/>
  <cols>
    <col min="1" max="1" width="1.7109375" style="29" customWidth="1"/>
    <col min="2" max="2" width="18.140625" style="29" bestFit="1" customWidth="1"/>
    <col min="3" max="3" width="11.140625" style="29" customWidth="1"/>
    <col min="4" max="4" width="8.42578125" style="29" customWidth="1"/>
    <col min="5" max="6" width="12.42578125" style="29" bestFit="1" customWidth="1" outlineLevel="1"/>
    <col min="7" max="15" width="11.42578125" style="29" customWidth="1" outlineLevel="1"/>
    <col min="16" max="16" width="12.42578125" style="29" customWidth="1" outlineLevel="1"/>
    <col min="17" max="17" width="11.42578125" style="29" bestFit="1" customWidth="1"/>
    <col min="18" max="29" width="11.42578125" style="29" outlineLevel="1"/>
    <col min="30" max="16384" width="11.42578125" style="29"/>
  </cols>
  <sheetData>
    <row r="1" spans="1:43" s="27" customFormat="1">
      <c r="A1" s="26"/>
      <c r="B1" s="28"/>
      <c r="C1" s="28"/>
      <c r="Q1" s="28"/>
    </row>
    <row r="2" spans="1:43" s="27" customFormat="1">
      <c r="A2" s="26"/>
      <c r="B2" s="223" t="s">
        <v>160</v>
      </c>
      <c r="C2" s="120" t="s">
        <v>108</v>
      </c>
      <c r="D2" s="121" t="s">
        <v>156</v>
      </c>
      <c r="E2" s="122">
        <f t="shared" ref="E2:AB2" si="0">SUMIF($C$8:$C$50,$C$2,E$8:E$50)</f>
        <v>33079740</v>
      </c>
      <c r="F2" s="122">
        <f t="shared" si="0"/>
        <v>29930979</v>
      </c>
      <c r="G2" s="122">
        <f t="shared" si="0"/>
        <v>27605764</v>
      </c>
      <c r="H2" s="122">
        <f t="shared" si="0"/>
        <v>28947479</v>
      </c>
      <c r="I2" s="122">
        <f t="shared" si="0"/>
        <v>29925179</v>
      </c>
      <c r="J2" s="122">
        <f t="shared" si="0"/>
        <v>26216330</v>
      </c>
      <c r="K2" s="122">
        <f t="shared" si="0"/>
        <v>36648600</v>
      </c>
      <c r="L2" s="122">
        <f t="shared" si="0"/>
        <v>46549618</v>
      </c>
      <c r="M2" s="122">
        <f t="shared" si="0"/>
        <v>49350463</v>
      </c>
      <c r="N2" s="122">
        <f t="shared" si="0"/>
        <v>47319452</v>
      </c>
      <c r="O2" s="122">
        <f t="shared" si="0"/>
        <v>37744820</v>
      </c>
      <c r="P2" s="122">
        <f>SUMIF($C$8:$C$50,$C$2,P$8:P$50)</f>
        <v>37179935</v>
      </c>
      <c r="Q2" s="134">
        <f>SUM(E2:P2)</f>
        <v>430498359</v>
      </c>
      <c r="R2" s="122">
        <f t="shared" si="0"/>
        <v>40978433</v>
      </c>
      <c r="S2" s="122">
        <f t="shared" si="0"/>
        <v>31560665</v>
      </c>
      <c r="T2" s="122">
        <f t="shared" si="0"/>
        <v>33002419</v>
      </c>
      <c r="U2" s="122">
        <f t="shared" si="0"/>
        <v>32692523</v>
      </c>
      <c r="V2" s="122">
        <f t="shared" si="0"/>
        <v>39322637</v>
      </c>
      <c r="W2" s="122">
        <f t="shared" si="0"/>
        <v>34274503</v>
      </c>
      <c r="X2" s="122">
        <f t="shared" si="0"/>
        <v>26956614</v>
      </c>
      <c r="Y2" s="122">
        <f t="shared" si="0"/>
        <v>22546263</v>
      </c>
      <c r="Z2" s="122">
        <f t="shared" si="0"/>
        <v>22079965</v>
      </c>
      <c r="AA2" s="122">
        <f t="shared" si="0"/>
        <v>19895199</v>
      </c>
      <c r="AB2" s="122">
        <f t="shared" si="0"/>
        <v>16324837</v>
      </c>
      <c r="AC2" s="122">
        <f>SUMIF($C$8:$C$50,$C$2,AC$8:AC$50)</f>
        <v>16887496</v>
      </c>
      <c r="AD2" s="134">
        <f>SUM(R2:AC2)</f>
        <v>336521554</v>
      </c>
      <c r="AE2" s="122">
        <f t="shared" ref="AE2:AO2" si="1">SUMIF($C$8:$C$50,$C$2,AE$8:AE$50)</f>
        <v>20994782</v>
      </c>
      <c r="AF2" s="122">
        <f t="shared" si="1"/>
        <v>17108814</v>
      </c>
      <c r="AG2" s="122">
        <f t="shared" si="1"/>
        <v>15747513</v>
      </c>
      <c r="AH2" s="122">
        <f t="shared" si="1"/>
        <v>14687222</v>
      </c>
      <c r="AI2" s="122">
        <f t="shared" si="1"/>
        <v>13550677</v>
      </c>
      <c r="AJ2" s="122">
        <f t="shared" si="1"/>
        <v>14725030</v>
      </c>
      <c r="AK2" s="122">
        <f t="shared" si="1"/>
        <v>19021161</v>
      </c>
      <c r="AL2" s="122">
        <f t="shared" si="1"/>
        <v>8938540</v>
      </c>
      <c r="AM2" s="122">
        <f t="shared" si="1"/>
        <v>0</v>
      </c>
      <c r="AN2" s="122">
        <f t="shared" si="1"/>
        <v>0</v>
      </c>
      <c r="AO2" s="122">
        <f t="shared" si="1"/>
        <v>0</v>
      </c>
      <c r="AP2" s="122">
        <f>SUMIF($C$8:$C$50,$C$2,AP$8:AP$50)</f>
        <v>0</v>
      </c>
      <c r="AQ2" s="134">
        <f>SUM(AE2:AP2)</f>
        <v>124773739</v>
      </c>
    </row>
    <row r="3" spans="1:43" s="27" customFormat="1">
      <c r="A3" s="26"/>
      <c r="B3" s="223"/>
      <c r="C3" s="112" t="s">
        <v>15</v>
      </c>
      <c r="D3" s="113" t="s">
        <v>156</v>
      </c>
      <c r="E3" s="114">
        <f t="shared" ref="E3:AB3" si="2">SUMIF($C$8:$C$50,$C$3,E$8:E$50)</f>
        <v>2555850</v>
      </c>
      <c r="F3" s="114">
        <f>SUMIF($C$8:$C$50,$C$3,F$8:F$50)</f>
        <v>2445009</v>
      </c>
      <c r="G3" s="114">
        <f t="shared" si="2"/>
        <v>1980969</v>
      </c>
      <c r="H3" s="114">
        <f t="shared" si="2"/>
        <v>1963456</v>
      </c>
      <c r="I3" s="114">
        <f t="shared" si="2"/>
        <v>2331240</v>
      </c>
      <c r="J3" s="114">
        <f t="shared" si="2"/>
        <v>12337616</v>
      </c>
      <c r="K3" s="114">
        <f t="shared" si="2"/>
        <v>13161714</v>
      </c>
      <c r="L3" s="114">
        <f t="shared" si="2"/>
        <v>22668530</v>
      </c>
      <c r="M3" s="114">
        <f t="shared" si="2"/>
        <v>44720787</v>
      </c>
      <c r="N3" s="114">
        <f t="shared" si="2"/>
        <v>20808224</v>
      </c>
      <c r="O3" s="114">
        <f t="shared" si="2"/>
        <v>28420629</v>
      </c>
      <c r="P3" s="114">
        <f>SUMIF($C$8:$C$50,$C$3,P$8:P$50)</f>
        <v>31138045</v>
      </c>
      <c r="Q3" s="135">
        <f>SUM(E3:P3)</f>
        <v>184532069</v>
      </c>
      <c r="R3" s="114">
        <f t="shared" si="2"/>
        <v>33826814</v>
      </c>
      <c r="S3" s="114">
        <f>SUMIF($C$8:$C$50,$C$3,S$8:S$50)</f>
        <v>26009485</v>
      </c>
      <c r="T3" s="114">
        <f t="shared" si="2"/>
        <v>23935188</v>
      </c>
      <c r="U3" s="114">
        <f t="shared" si="2"/>
        <v>21128435</v>
      </c>
      <c r="V3" s="114">
        <f t="shared" si="2"/>
        <v>26585858</v>
      </c>
      <c r="W3" s="114">
        <f t="shared" si="2"/>
        <v>16196714</v>
      </c>
      <c r="X3" s="114">
        <f t="shared" si="2"/>
        <v>18429228</v>
      </c>
      <c r="Y3" s="114">
        <f t="shared" si="2"/>
        <v>9248159</v>
      </c>
      <c r="Z3" s="114">
        <f t="shared" si="2"/>
        <v>8068673</v>
      </c>
      <c r="AA3" s="114">
        <f t="shared" si="2"/>
        <v>6258193</v>
      </c>
      <c r="AB3" s="114">
        <f t="shared" si="2"/>
        <v>2544031</v>
      </c>
      <c r="AC3" s="114">
        <f>SUMIF($C$8:$C$50,$C$3,AC$8:AC$50)</f>
        <v>2958578</v>
      </c>
      <c r="AD3" s="135">
        <f>SUM(R3:AC3)</f>
        <v>195189356</v>
      </c>
      <c r="AE3" s="114">
        <f t="shared" ref="AE3:AO3" si="3">SUMIF($C$8:$C$50,$C$3,AE$8:AE$50)</f>
        <v>3479666</v>
      </c>
      <c r="AF3" s="114">
        <f>SUMIF($C$8:$C$50,$C$3,AF$8:AF$50)</f>
        <v>4228342</v>
      </c>
      <c r="AG3" s="114">
        <f t="shared" si="3"/>
        <v>5879648</v>
      </c>
      <c r="AH3" s="114">
        <f t="shared" si="3"/>
        <v>6590228</v>
      </c>
      <c r="AI3" s="114">
        <f t="shared" si="3"/>
        <v>18037038</v>
      </c>
      <c r="AJ3" s="114">
        <f t="shared" si="3"/>
        <v>21415907</v>
      </c>
      <c r="AK3" s="114">
        <f t="shared" si="3"/>
        <v>25448352</v>
      </c>
      <c r="AL3" s="114">
        <f t="shared" si="3"/>
        <v>27481</v>
      </c>
      <c r="AM3" s="114">
        <f t="shared" si="3"/>
        <v>0</v>
      </c>
      <c r="AN3" s="114">
        <f t="shared" si="3"/>
        <v>0</v>
      </c>
      <c r="AO3" s="114">
        <f t="shared" si="3"/>
        <v>0</v>
      </c>
      <c r="AP3" s="114">
        <f>SUMIF($C$8:$C$50,$C$3,AP$8:AP$50)</f>
        <v>0</v>
      </c>
      <c r="AQ3" s="135">
        <f>SUM(AE3:AP3)</f>
        <v>85106662</v>
      </c>
    </row>
    <row r="4" spans="1:43" s="27" customFormat="1">
      <c r="A4"/>
      <c r="B4" s="223"/>
      <c r="C4" s="115" t="s">
        <v>109</v>
      </c>
      <c r="D4" s="83" t="s">
        <v>156</v>
      </c>
      <c r="E4" s="84">
        <f t="shared" ref="E4:AB4" si="4">SUMIF($C$8:$C$50,$C$4,E$8:E$50)</f>
        <v>7690617</v>
      </c>
      <c r="F4" s="84">
        <f t="shared" si="4"/>
        <v>5902806</v>
      </c>
      <c r="G4" s="84">
        <f t="shared" si="4"/>
        <v>5134405</v>
      </c>
      <c r="H4" s="84">
        <f t="shared" si="4"/>
        <v>7452163</v>
      </c>
      <c r="I4" s="84">
        <f t="shared" si="4"/>
        <v>9764106</v>
      </c>
      <c r="J4" s="84">
        <f t="shared" si="4"/>
        <v>9155351</v>
      </c>
      <c r="K4" s="84">
        <f t="shared" si="4"/>
        <v>5511589</v>
      </c>
      <c r="L4" s="84">
        <f t="shared" si="4"/>
        <v>4252216</v>
      </c>
      <c r="M4" s="84">
        <f t="shared" si="4"/>
        <v>14761442</v>
      </c>
      <c r="N4" s="84">
        <f t="shared" si="4"/>
        <v>6873252</v>
      </c>
      <c r="O4" s="84">
        <f t="shared" si="4"/>
        <v>7465940</v>
      </c>
      <c r="P4" s="84">
        <f>SUMIF($C$8:$C$50,$C$4,P$8:P$50)</f>
        <v>7558463.4699999997</v>
      </c>
      <c r="Q4" s="136">
        <f>SUM(E4:P4)</f>
        <v>91522350.469999999</v>
      </c>
      <c r="R4" s="84">
        <f t="shared" si="4"/>
        <v>7685096</v>
      </c>
      <c r="S4" s="84">
        <f t="shared" si="4"/>
        <v>4151326</v>
      </c>
      <c r="T4" s="84">
        <f t="shared" si="4"/>
        <v>4714860</v>
      </c>
      <c r="U4" s="84">
        <f t="shared" si="4"/>
        <v>4424840</v>
      </c>
      <c r="V4" s="84">
        <f t="shared" si="4"/>
        <v>5754823</v>
      </c>
      <c r="W4" s="84">
        <f t="shared" si="4"/>
        <v>4752992</v>
      </c>
      <c r="X4" s="84">
        <f t="shared" si="4"/>
        <v>6042866</v>
      </c>
      <c r="Y4" s="84">
        <f t="shared" si="4"/>
        <v>4697778</v>
      </c>
      <c r="Z4" s="84">
        <f t="shared" si="4"/>
        <v>4080189</v>
      </c>
      <c r="AA4" s="84">
        <f t="shared" si="4"/>
        <v>2604063</v>
      </c>
      <c r="AB4" s="84">
        <f t="shared" si="4"/>
        <v>2555906</v>
      </c>
      <c r="AC4" s="84">
        <f>SUMIF($C$8:$C$50,$C$4,AC$8:AC$50)</f>
        <v>1539435</v>
      </c>
      <c r="AD4" s="136">
        <f>SUM(R4:AC4)</f>
        <v>53004174</v>
      </c>
      <c r="AE4" s="84">
        <f t="shared" ref="AE4:AO4" si="5">SUMIF($C$8:$C$50,$C$4,AE$8:AE$50)</f>
        <v>1179795</v>
      </c>
      <c r="AF4" s="84">
        <f t="shared" si="5"/>
        <v>864087</v>
      </c>
      <c r="AG4" s="84">
        <f t="shared" si="5"/>
        <v>479227</v>
      </c>
      <c r="AH4" s="84">
        <f t="shared" si="5"/>
        <v>511265</v>
      </c>
      <c r="AI4" s="84">
        <f t="shared" si="5"/>
        <v>797719</v>
      </c>
      <c r="AJ4" s="84">
        <f t="shared" si="5"/>
        <v>981849</v>
      </c>
      <c r="AK4" s="84">
        <f t="shared" si="5"/>
        <v>415103</v>
      </c>
      <c r="AL4" s="84">
        <f t="shared" si="5"/>
        <v>196465</v>
      </c>
      <c r="AM4" s="84">
        <f t="shared" si="5"/>
        <v>0</v>
      </c>
      <c r="AN4" s="84">
        <f t="shared" si="5"/>
        <v>0</v>
      </c>
      <c r="AO4" s="84">
        <f t="shared" si="5"/>
        <v>0</v>
      </c>
      <c r="AP4" s="84">
        <f>SUMIF($C$8:$C$50,$C$4,AP$8:AP$50)</f>
        <v>0</v>
      </c>
      <c r="AQ4" s="136">
        <f>SUM(AE4:AP4)</f>
        <v>5425510</v>
      </c>
    </row>
    <row r="5" spans="1:43" s="30" customFormat="1">
      <c r="A5"/>
      <c r="C5" s="116" t="s">
        <v>157</v>
      </c>
      <c r="D5" s="117" t="s">
        <v>156</v>
      </c>
      <c r="E5" s="118">
        <f>SUM(E2:E4)</f>
        <v>43326207</v>
      </c>
      <c r="F5" s="118">
        <f t="shared" ref="F5:P5" si="6">SUM(F2:F4)</f>
        <v>38278794</v>
      </c>
      <c r="G5" s="118">
        <f t="shared" si="6"/>
        <v>34721138</v>
      </c>
      <c r="H5" s="118">
        <f t="shared" si="6"/>
        <v>38363098</v>
      </c>
      <c r="I5" s="118">
        <f t="shared" si="6"/>
        <v>42020525</v>
      </c>
      <c r="J5" s="118">
        <f t="shared" si="6"/>
        <v>47709297</v>
      </c>
      <c r="K5" s="118">
        <f t="shared" si="6"/>
        <v>55321903</v>
      </c>
      <c r="L5" s="118">
        <f t="shared" si="6"/>
        <v>73470364</v>
      </c>
      <c r="M5" s="118">
        <f t="shared" si="6"/>
        <v>108832692</v>
      </c>
      <c r="N5" s="118">
        <f t="shared" si="6"/>
        <v>75000928</v>
      </c>
      <c r="O5" s="118">
        <f t="shared" si="6"/>
        <v>73631389</v>
      </c>
      <c r="P5" s="118">
        <f t="shared" si="6"/>
        <v>75876443.469999999</v>
      </c>
      <c r="Q5" s="138">
        <f>SUM(E5:P5)</f>
        <v>706552778.47000003</v>
      </c>
      <c r="R5" s="118">
        <f>SUM(R2:R4)</f>
        <v>82490343</v>
      </c>
      <c r="S5" s="118">
        <f t="shared" ref="S5:AC5" si="7">SUM(S2:S4)</f>
        <v>61721476</v>
      </c>
      <c r="T5" s="118">
        <f t="shared" si="7"/>
        <v>61652467</v>
      </c>
      <c r="U5" s="118">
        <f t="shared" si="7"/>
        <v>58245798</v>
      </c>
      <c r="V5" s="118">
        <f t="shared" si="7"/>
        <v>71663318</v>
      </c>
      <c r="W5" s="118">
        <f t="shared" si="7"/>
        <v>55224209</v>
      </c>
      <c r="X5" s="118">
        <f t="shared" si="7"/>
        <v>51428708</v>
      </c>
      <c r="Y5" s="118">
        <f t="shared" si="7"/>
        <v>36492200</v>
      </c>
      <c r="Z5" s="118">
        <f t="shared" si="7"/>
        <v>34228827</v>
      </c>
      <c r="AA5" s="118">
        <f t="shared" si="7"/>
        <v>28757455</v>
      </c>
      <c r="AB5" s="118">
        <f t="shared" si="7"/>
        <v>21424774</v>
      </c>
      <c r="AC5" s="118">
        <f t="shared" si="7"/>
        <v>21385509</v>
      </c>
      <c r="AD5" s="138">
        <f>SUM(R5:AC5)</f>
        <v>584715084</v>
      </c>
      <c r="AE5" s="118">
        <f>SUM(AE2:AE4)</f>
        <v>25654243</v>
      </c>
      <c r="AF5" s="118">
        <f t="shared" ref="AF5:AP5" si="8">SUM(AF2:AF4)</f>
        <v>22201243</v>
      </c>
      <c r="AG5" s="118">
        <f t="shared" si="8"/>
        <v>22106388</v>
      </c>
      <c r="AH5" s="118">
        <f t="shared" si="8"/>
        <v>21788715</v>
      </c>
      <c r="AI5" s="118">
        <f t="shared" si="8"/>
        <v>32385434</v>
      </c>
      <c r="AJ5" s="118">
        <f t="shared" si="8"/>
        <v>37122786</v>
      </c>
      <c r="AK5" s="118">
        <f t="shared" si="8"/>
        <v>44884616</v>
      </c>
      <c r="AL5" s="118">
        <f t="shared" si="8"/>
        <v>9162486</v>
      </c>
      <c r="AM5" s="118">
        <f t="shared" si="8"/>
        <v>0</v>
      </c>
      <c r="AN5" s="118">
        <f t="shared" si="8"/>
        <v>0</v>
      </c>
      <c r="AO5" s="118">
        <f t="shared" si="8"/>
        <v>0</v>
      </c>
      <c r="AP5" s="118">
        <f t="shared" si="8"/>
        <v>0</v>
      </c>
      <c r="AQ5" s="138">
        <f>SUM(AE5:AP5)</f>
        <v>215305911</v>
      </c>
    </row>
    <row r="6" spans="1:43" s="30" customFormat="1" ht="18" customHeight="1">
      <c r="A6"/>
      <c r="C6" s="80"/>
      <c r="D6" s="81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9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9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92"/>
    </row>
    <row r="7" spans="1:43" ht="25.5">
      <c r="A7"/>
      <c r="B7" s="132" t="s">
        <v>7</v>
      </c>
      <c r="C7" s="31" t="s">
        <v>81</v>
      </c>
      <c r="D7" s="31" t="s">
        <v>34</v>
      </c>
      <c r="E7" s="131">
        <v>44562</v>
      </c>
      <c r="F7" s="131">
        <v>44593</v>
      </c>
      <c r="G7" s="131">
        <v>44621</v>
      </c>
      <c r="H7" s="131">
        <v>44652</v>
      </c>
      <c r="I7" s="131">
        <v>44682</v>
      </c>
      <c r="J7" s="131">
        <v>44713</v>
      </c>
      <c r="K7" s="131">
        <v>44743</v>
      </c>
      <c r="L7" s="131">
        <v>44774</v>
      </c>
      <c r="M7" s="131">
        <v>44805</v>
      </c>
      <c r="N7" s="131">
        <v>44835</v>
      </c>
      <c r="O7" s="131">
        <v>44866</v>
      </c>
      <c r="P7" s="131">
        <v>44896</v>
      </c>
      <c r="Q7" s="91">
        <v>2022</v>
      </c>
      <c r="R7" s="131">
        <v>44927</v>
      </c>
      <c r="S7" s="131">
        <v>44958</v>
      </c>
      <c r="T7" s="131">
        <v>44986</v>
      </c>
      <c r="U7" s="131">
        <v>45017</v>
      </c>
      <c r="V7" s="131">
        <v>45047</v>
      </c>
      <c r="W7" s="131">
        <v>45078</v>
      </c>
      <c r="X7" s="131">
        <v>45108</v>
      </c>
      <c r="Y7" s="131">
        <v>45139</v>
      </c>
      <c r="Z7" s="131">
        <v>45170</v>
      </c>
      <c r="AA7" s="131">
        <v>45200</v>
      </c>
      <c r="AB7" s="131">
        <v>45231</v>
      </c>
      <c r="AC7" s="131">
        <v>45261</v>
      </c>
      <c r="AD7" s="91">
        <v>2023</v>
      </c>
      <c r="AE7" s="131">
        <v>45292</v>
      </c>
      <c r="AF7" s="131">
        <v>45323</v>
      </c>
      <c r="AG7" s="131">
        <v>45352</v>
      </c>
      <c r="AH7" s="131">
        <v>45383</v>
      </c>
      <c r="AI7" s="131">
        <v>45413</v>
      </c>
      <c r="AJ7" s="131">
        <v>45444</v>
      </c>
      <c r="AK7" s="131">
        <v>45474</v>
      </c>
      <c r="AL7" s="131">
        <v>45505</v>
      </c>
      <c r="AM7" s="131">
        <v>45536</v>
      </c>
      <c r="AN7" s="131">
        <v>45566</v>
      </c>
      <c r="AO7" s="131">
        <v>45597</v>
      </c>
      <c r="AP7" s="131">
        <v>45627</v>
      </c>
      <c r="AQ7" s="91">
        <v>2024</v>
      </c>
    </row>
    <row r="8" spans="1:43">
      <c r="A8" s="35"/>
      <c r="B8" s="33" t="s">
        <v>38</v>
      </c>
      <c r="C8" s="58" t="s">
        <v>108</v>
      </c>
      <c r="D8" s="33" t="s">
        <v>39</v>
      </c>
      <c r="E8" s="94">
        <f>'Basisdaten Reach'!B40</f>
        <v>11200000</v>
      </c>
      <c r="F8" s="94">
        <f>'Basisdaten Reach'!C40</f>
        <v>7800000</v>
      </c>
      <c r="G8" s="94">
        <f>'Basisdaten Reach'!D40</f>
        <v>7300000</v>
      </c>
      <c r="H8" s="94">
        <f>'Basisdaten Reach'!E40</f>
        <v>8100000</v>
      </c>
      <c r="I8" s="94">
        <f>'Basisdaten Reach'!F40</f>
        <v>7900000</v>
      </c>
      <c r="J8" s="94">
        <f>'Basisdaten Reach'!G40</f>
        <v>5500000</v>
      </c>
      <c r="K8" s="94">
        <f>'Basisdaten Reach'!H40</f>
        <v>7800000</v>
      </c>
      <c r="L8" s="94">
        <f>'Basisdaten Reach'!I40</f>
        <v>6400000</v>
      </c>
      <c r="M8" s="94">
        <f>'Basisdaten Reach'!J40</f>
        <v>9100000</v>
      </c>
      <c r="N8" s="94">
        <f>'Basisdaten Reach'!K40</f>
        <v>6900000</v>
      </c>
      <c r="O8" s="94">
        <f>'Basisdaten Reach'!L40</f>
        <v>4900000</v>
      </c>
      <c r="P8" s="94">
        <f>'Basisdaten Reach'!M40</f>
        <v>6800000</v>
      </c>
      <c r="Q8" s="99">
        <f>SUM(E8:O8)</f>
        <v>82900000</v>
      </c>
      <c r="R8" s="94">
        <f>'Basisdaten Reach'!O40</f>
        <v>7988075</v>
      </c>
      <c r="S8" s="94">
        <f>'Basisdaten Reach'!P40</f>
        <v>4234669</v>
      </c>
      <c r="T8" s="94">
        <f>'Basisdaten Reach'!Q40</f>
        <v>2802017</v>
      </c>
      <c r="U8" s="94">
        <f>'Basisdaten Reach'!R40</f>
        <v>2690972</v>
      </c>
      <c r="V8" s="94">
        <f>'Basisdaten Reach'!S40</f>
        <v>4434513</v>
      </c>
      <c r="W8" s="94">
        <f>'Basisdaten Reach'!T40</f>
        <v>3589861</v>
      </c>
      <c r="X8" s="94">
        <f>'Basisdaten Reach'!U40</f>
        <v>0</v>
      </c>
      <c r="Y8" s="94">
        <f>'Basisdaten Reach'!V40</f>
        <v>0</v>
      </c>
      <c r="Z8" s="94">
        <f>'Basisdaten Reach'!W40</f>
        <v>2041056</v>
      </c>
      <c r="AA8" s="94">
        <f>'Basisdaten Reach'!X40</f>
        <v>993383</v>
      </c>
      <c r="AB8" s="94">
        <f>'Basisdaten Reach'!Y40</f>
        <v>1359509</v>
      </c>
      <c r="AC8" s="94">
        <f>'Basisdaten Reach'!Z40</f>
        <v>1454753</v>
      </c>
      <c r="AD8" s="99">
        <f>SUM(R8:AB8)</f>
        <v>30134055</v>
      </c>
      <c r="AE8" s="94">
        <f>'Basisdaten Reach'!AB40</f>
        <v>527057</v>
      </c>
      <c r="AF8" s="94">
        <f>'Basisdaten Reach'!AC40</f>
        <v>600779</v>
      </c>
      <c r="AG8" s="94">
        <f>'Basisdaten Reach'!AD40</f>
        <v>331163</v>
      </c>
      <c r="AH8" s="94">
        <f>'Basisdaten Reach'!AE40</f>
        <v>380109</v>
      </c>
      <c r="AI8" s="94">
        <f>'Basisdaten Reach'!AF40</f>
        <v>413719</v>
      </c>
      <c r="AJ8" s="94">
        <f>'Basisdaten Reach'!AG40</f>
        <v>306694</v>
      </c>
      <c r="AK8" s="94">
        <f>'Basisdaten Reach'!AH40</f>
        <v>14056</v>
      </c>
      <c r="AL8" s="94">
        <f>'Basisdaten Reach'!AI40</f>
        <v>9912</v>
      </c>
      <c r="AM8" s="94">
        <f>'Basisdaten Reach'!AJ40</f>
        <v>0</v>
      </c>
      <c r="AN8" s="94">
        <f>'Basisdaten Reach'!AK40</f>
        <v>0</v>
      </c>
      <c r="AO8" s="94">
        <f>'Basisdaten Reach'!AL40</f>
        <v>0</v>
      </c>
      <c r="AP8" s="94">
        <f>'Basisdaten Reach'!AM40</f>
        <v>0</v>
      </c>
      <c r="AQ8" s="99">
        <f>SUM(AE8:AO8)</f>
        <v>2583489</v>
      </c>
    </row>
    <row r="9" spans="1:43">
      <c r="A9" s="35"/>
      <c r="B9" s="33" t="s">
        <v>38</v>
      </c>
      <c r="C9" s="59" t="s">
        <v>15</v>
      </c>
      <c r="D9" s="33" t="s">
        <v>39</v>
      </c>
      <c r="E9" s="94">
        <f>'Basisdaten Reach'!B41</f>
        <v>1000000</v>
      </c>
      <c r="F9" s="94">
        <f>'Basisdaten Reach'!C41</f>
        <v>648232</v>
      </c>
      <c r="G9" s="94">
        <f>'Basisdaten Reach'!D41</f>
        <v>452786</v>
      </c>
      <c r="H9" s="94">
        <f>'Basisdaten Reach'!E41</f>
        <v>345544</v>
      </c>
      <c r="I9" s="94">
        <f>'Basisdaten Reach'!F41</f>
        <v>841949</v>
      </c>
      <c r="J9" s="94">
        <f>'Basisdaten Reach'!G41</f>
        <v>10000000</v>
      </c>
      <c r="K9" s="94">
        <f>'Basisdaten Reach'!H41</f>
        <v>8300000</v>
      </c>
      <c r="L9" s="94">
        <f>'Basisdaten Reach'!I41</f>
        <v>3900000</v>
      </c>
      <c r="M9" s="94">
        <f>'Basisdaten Reach'!J41</f>
        <v>10100000</v>
      </c>
      <c r="N9" s="94">
        <f>'Basisdaten Reach'!K41</f>
        <v>3700000</v>
      </c>
      <c r="O9" s="94">
        <f>'Basisdaten Reach'!L41</f>
        <v>2800000</v>
      </c>
      <c r="P9" s="94">
        <f>'Basisdaten Reach'!M41</f>
        <v>3100000</v>
      </c>
      <c r="Q9" s="99">
        <f>SUM(E9:O9)</f>
        <v>42088511</v>
      </c>
      <c r="R9" s="94">
        <f>'Basisdaten Reach'!O41</f>
        <v>2948597</v>
      </c>
      <c r="S9" s="94">
        <f>'Basisdaten Reach'!P41</f>
        <v>1396044</v>
      </c>
      <c r="T9" s="94">
        <f>'Basisdaten Reach'!Q41</f>
        <v>1017609</v>
      </c>
      <c r="U9" s="94">
        <f>'Basisdaten Reach'!R41</f>
        <v>368374</v>
      </c>
      <c r="V9" s="94">
        <f>'Basisdaten Reach'!S41</f>
        <v>247535</v>
      </c>
      <c r="W9" s="94">
        <f>'Basisdaten Reach'!T41</f>
        <v>349511</v>
      </c>
      <c r="X9" s="94">
        <f>'Basisdaten Reach'!U41</f>
        <v>0</v>
      </c>
      <c r="Y9" s="94">
        <f>'Basisdaten Reach'!V41</f>
        <v>0</v>
      </c>
      <c r="Z9" s="94">
        <f>'Basisdaten Reach'!W41</f>
        <v>120016</v>
      </c>
      <c r="AA9" s="94">
        <f>'Basisdaten Reach'!X41</f>
        <v>91845</v>
      </c>
      <c r="AB9" s="94">
        <f>'Basisdaten Reach'!Y41</f>
        <v>165450</v>
      </c>
      <c r="AC9" s="94">
        <f>'Basisdaten Reach'!Z41</f>
        <v>121541</v>
      </c>
      <c r="AD9" s="99">
        <f>SUM(R9:AB9)</f>
        <v>6704981</v>
      </c>
      <c r="AE9" s="94">
        <f>'Basisdaten Reach'!AB41</f>
        <v>43250</v>
      </c>
      <c r="AF9" s="94">
        <f>'Basisdaten Reach'!AC41</f>
        <v>30539</v>
      </c>
      <c r="AG9" s="94">
        <f>'Basisdaten Reach'!AD41</f>
        <v>23843</v>
      </c>
      <c r="AH9" s="94">
        <f>'Basisdaten Reach'!AE41</f>
        <v>14271</v>
      </c>
      <c r="AI9" s="94">
        <f>'Basisdaten Reach'!AF41</f>
        <v>11149</v>
      </c>
      <c r="AJ9" s="94">
        <f>'Basisdaten Reach'!AG41</f>
        <v>9315</v>
      </c>
      <c r="AK9" s="94">
        <f>'Basisdaten Reach'!AH41</f>
        <v>5508</v>
      </c>
      <c r="AL9" s="94">
        <f>'Basisdaten Reach'!AI41</f>
        <v>5053</v>
      </c>
      <c r="AM9" s="94">
        <f>'Basisdaten Reach'!AJ41</f>
        <v>0</v>
      </c>
      <c r="AN9" s="94">
        <f>'Basisdaten Reach'!AK41</f>
        <v>0</v>
      </c>
      <c r="AO9" s="94">
        <f>'Basisdaten Reach'!AL41</f>
        <v>0</v>
      </c>
      <c r="AP9" s="94">
        <f>'Basisdaten Reach'!AM41</f>
        <v>0</v>
      </c>
      <c r="AQ9" s="99">
        <f>SUM(AE9:AO9)</f>
        <v>142928</v>
      </c>
    </row>
    <row r="10" spans="1:43">
      <c r="A10" s="35"/>
      <c r="B10" s="33" t="s">
        <v>38</v>
      </c>
      <c r="C10" s="59" t="s">
        <v>109</v>
      </c>
      <c r="D10" s="33" t="s">
        <v>39</v>
      </c>
      <c r="E10" s="94">
        <f>'Basisdaten Reach'!B42</f>
        <v>1600000</v>
      </c>
      <c r="F10" s="94">
        <f>'Basisdaten Reach'!C42</f>
        <v>455323</v>
      </c>
      <c r="G10" s="94">
        <f>'Basisdaten Reach'!D42</f>
        <v>330972</v>
      </c>
      <c r="H10" s="94">
        <f>'Basisdaten Reach'!E42</f>
        <v>688469</v>
      </c>
      <c r="I10" s="94">
        <f>'Basisdaten Reach'!F42</f>
        <v>650335</v>
      </c>
      <c r="J10" s="94">
        <f>'Basisdaten Reach'!G42</f>
        <v>385601</v>
      </c>
      <c r="K10" s="94">
        <f>'Basisdaten Reach'!H42</f>
        <v>103843</v>
      </c>
      <c r="L10" s="94">
        <f>'Basisdaten Reach'!I42</f>
        <v>59638</v>
      </c>
      <c r="M10" s="94">
        <f>'Basisdaten Reach'!J42</f>
        <v>161748</v>
      </c>
      <c r="N10" s="94">
        <f>'Basisdaten Reach'!K42</f>
        <v>62446</v>
      </c>
      <c r="O10" s="94">
        <f>'Basisdaten Reach'!L42</f>
        <v>55689</v>
      </c>
      <c r="P10" s="94">
        <f>'Basisdaten Reach'!M42</f>
        <v>16385</v>
      </c>
      <c r="Q10" s="99">
        <f>SUM(E10:O10)</f>
        <v>4554064</v>
      </c>
      <c r="R10" s="94">
        <f>'Basisdaten Reach'!O42</f>
        <v>159048</v>
      </c>
      <c r="S10" s="94">
        <f>'Basisdaten Reach'!P42</f>
        <v>74509</v>
      </c>
      <c r="T10" s="94">
        <f>'Basisdaten Reach'!Q42</f>
        <v>39264</v>
      </c>
      <c r="U10" s="94">
        <f>'Basisdaten Reach'!R42</f>
        <v>55711</v>
      </c>
      <c r="V10" s="94">
        <f>'Basisdaten Reach'!S42</f>
        <v>34302</v>
      </c>
      <c r="W10" s="94">
        <f>'Basisdaten Reach'!T42</f>
        <v>35942</v>
      </c>
      <c r="X10" s="94">
        <f>'Basisdaten Reach'!U42</f>
        <v>0</v>
      </c>
      <c r="Y10" s="94">
        <f>'Basisdaten Reach'!V42</f>
        <v>0</v>
      </c>
      <c r="Z10" s="94">
        <f>'Basisdaten Reach'!W42</f>
        <v>17292</v>
      </c>
      <c r="AA10" s="94">
        <f>'Basisdaten Reach'!X42</f>
        <v>15046</v>
      </c>
      <c r="AB10" s="94">
        <f>'Basisdaten Reach'!Y42</f>
        <v>57445</v>
      </c>
      <c r="AC10" s="94">
        <f>'Basisdaten Reach'!Z42</f>
        <v>40392</v>
      </c>
      <c r="AD10" s="99">
        <f>SUM(R10:AB10)</f>
        <v>488559</v>
      </c>
      <c r="AE10" s="94">
        <f>'Basisdaten Reach'!AB42</f>
        <v>8263</v>
      </c>
      <c r="AF10" s="94">
        <f>'Basisdaten Reach'!AC42</f>
        <v>13696</v>
      </c>
      <c r="AG10" s="94">
        <f>'Basisdaten Reach'!AD42</f>
        <v>13892</v>
      </c>
      <c r="AH10" s="94">
        <f>'Basisdaten Reach'!AE42</f>
        <v>7841</v>
      </c>
      <c r="AI10" s="94">
        <f>'Basisdaten Reach'!AF42</f>
        <v>4727</v>
      </c>
      <c r="AJ10" s="94">
        <f>'Basisdaten Reach'!AG42</f>
        <v>3192</v>
      </c>
      <c r="AK10" s="94">
        <f>'Basisdaten Reach'!AH42</f>
        <v>2086</v>
      </c>
      <c r="AL10" s="94">
        <f>'Basisdaten Reach'!AI42</f>
        <v>1051</v>
      </c>
      <c r="AM10" s="94">
        <f>'Basisdaten Reach'!AJ42</f>
        <v>0</v>
      </c>
      <c r="AN10" s="94">
        <f>'Basisdaten Reach'!AK42</f>
        <v>0</v>
      </c>
      <c r="AO10" s="94">
        <f>'Basisdaten Reach'!AL42</f>
        <v>0</v>
      </c>
      <c r="AP10" s="94">
        <f>'Basisdaten Reach'!AM42</f>
        <v>0</v>
      </c>
      <c r="AQ10" s="99">
        <f>SUM(AE10:AO10)</f>
        <v>54748</v>
      </c>
    </row>
    <row r="11" spans="1:43">
      <c r="A11" s="35"/>
      <c r="B11" s="127" t="s">
        <v>35</v>
      </c>
      <c r="C11" s="85" t="s">
        <v>108</v>
      </c>
      <c r="D11" s="88" t="s">
        <v>40</v>
      </c>
      <c r="E11" s="93">
        <f>'Basisdaten Reach'!B10</f>
        <v>9950126</v>
      </c>
      <c r="F11" s="93">
        <f>'Basisdaten Reach'!C10</f>
        <v>9900542</v>
      </c>
      <c r="G11" s="93">
        <f>'Basisdaten Reach'!D10</f>
        <v>7705481</v>
      </c>
      <c r="H11" s="93">
        <f>'Basisdaten Reach'!E10</f>
        <v>5094706</v>
      </c>
      <c r="I11" s="93">
        <f>'Basisdaten Reach'!F10</f>
        <v>5753434</v>
      </c>
      <c r="J11" s="93">
        <f>'Basisdaten Reach'!G10</f>
        <v>6641525</v>
      </c>
      <c r="K11" s="93">
        <f>'Basisdaten Reach'!H10</f>
        <v>8062770</v>
      </c>
      <c r="L11" s="93">
        <f>'Basisdaten Reach'!I10</f>
        <v>7456141</v>
      </c>
      <c r="M11" s="93">
        <f>'Basisdaten Reach'!J10</f>
        <v>10984201</v>
      </c>
      <c r="N11" s="93">
        <f>'Basisdaten Reach'!K10</f>
        <v>9438782</v>
      </c>
      <c r="O11" s="93">
        <f>'Basisdaten Reach'!L10</f>
        <v>7922624</v>
      </c>
      <c r="P11" s="93">
        <f>'Basisdaten Reach'!M10</f>
        <v>9142184</v>
      </c>
      <c r="Q11" s="98">
        <f t="shared" ref="Q11:Q39" si="9">SUM(E11:P11)</f>
        <v>98052516</v>
      </c>
      <c r="R11" s="93">
        <f>'Basisdaten Reach'!O10</f>
        <v>11548321</v>
      </c>
      <c r="S11" s="93">
        <f>'Basisdaten Reach'!P10</f>
        <v>11655358</v>
      </c>
      <c r="T11" s="93">
        <f>'Basisdaten Reach'!Q10</f>
        <v>15560827</v>
      </c>
      <c r="U11" s="93">
        <f>'Basisdaten Reach'!R10</f>
        <v>12100909</v>
      </c>
      <c r="V11" s="93">
        <f>'Basisdaten Reach'!S10</f>
        <v>10949585</v>
      </c>
      <c r="W11" s="93">
        <f>'Basisdaten Reach'!T10</f>
        <v>7621068</v>
      </c>
      <c r="X11" s="93">
        <f>'Basisdaten Reach'!U10</f>
        <v>7305115</v>
      </c>
      <c r="Y11" s="93">
        <f>'Basisdaten Reach'!V10</f>
        <v>7546737</v>
      </c>
      <c r="Z11" s="93">
        <f>'Basisdaten Reach'!W10</f>
        <v>5258843</v>
      </c>
      <c r="AA11" s="93">
        <f>'Basisdaten Reach'!X10</f>
        <v>5103856</v>
      </c>
      <c r="AB11" s="93">
        <f>'Basisdaten Reach'!Y10</f>
        <v>3914775</v>
      </c>
      <c r="AC11" s="93">
        <f>'Basisdaten Reach'!Z10</f>
        <v>3900664</v>
      </c>
      <c r="AD11" s="98">
        <f t="shared" ref="AD11:AD39" si="10">SUM(R11:AC11)</f>
        <v>102466058</v>
      </c>
      <c r="AE11" s="93">
        <f>'Basisdaten Reach'!AB10</f>
        <v>5810340</v>
      </c>
      <c r="AF11" s="93">
        <f>'Basisdaten Reach'!AC10</f>
        <v>5323939</v>
      </c>
      <c r="AG11" s="93">
        <f>'Basisdaten Reach'!AD10</f>
        <v>3481874</v>
      </c>
      <c r="AH11" s="93">
        <f>'Basisdaten Reach'!AE10</f>
        <v>3894625</v>
      </c>
      <c r="AI11" s="93">
        <f>'Basisdaten Reach'!AF10</f>
        <v>2897519</v>
      </c>
      <c r="AJ11" s="93">
        <f>'Basisdaten Reach'!AG10</f>
        <v>5827211</v>
      </c>
      <c r="AK11" s="93">
        <f>'Basisdaten Reach'!AH10</f>
        <v>6235216</v>
      </c>
      <c r="AL11" s="93">
        <f>'Basisdaten Reach'!AI10</f>
        <v>3833259</v>
      </c>
      <c r="AM11" s="93">
        <f>'Basisdaten Reach'!AJ10</f>
        <v>0</v>
      </c>
      <c r="AN11" s="93">
        <f>'Basisdaten Reach'!AK10</f>
        <v>0</v>
      </c>
      <c r="AO11" s="93">
        <f>'Basisdaten Reach'!AL10</f>
        <v>0</v>
      </c>
      <c r="AP11" s="93">
        <f>'Basisdaten Reach'!AM10</f>
        <v>0</v>
      </c>
      <c r="AQ11" s="98">
        <f t="shared" ref="AQ11:AQ39" si="11">SUM(AE11:AP11)</f>
        <v>37303983</v>
      </c>
    </row>
    <row r="12" spans="1:43">
      <c r="A12" s="35"/>
      <c r="B12" s="33" t="s">
        <v>36</v>
      </c>
      <c r="C12" s="59" t="s">
        <v>108</v>
      </c>
      <c r="D12" s="33" t="s">
        <v>40</v>
      </c>
      <c r="E12" s="94">
        <f>'Basisdaten Reach'!B21</f>
        <v>2601308</v>
      </c>
      <c r="F12" s="94">
        <f>'Basisdaten Reach'!C21</f>
        <v>3230579</v>
      </c>
      <c r="G12" s="94">
        <f>'Basisdaten Reach'!D21</f>
        <v>2384934</v>
      </c>
      <c r="H12" s="94">
        <f>'Basisdaten Reach'!E21</f>
        <v>1028575</v>
      </c>
      <c r="I12" s="94">
        <f>'Basisdaten Reach'!F21</f>
        <v>1434251</v>
      </c>
      <c r="J12" s="94">
        <f>'Basisdaten Reach'!G21</f>
        <v>185229</v>
      </c>
      <c r="K12" s="94">
        <f>'Basisdaten Reach'!H21</f>
        <v>2547161</v>
      </c>
      <c r="L12" s="94">
        <f>'Basisdaten Reach'!I21</f>
        <v>1205164</v>
      </c>
      <c r="M12" s="94">
        <f>'Basisdaten Reach'!J21</f>
        <v>1630425</v>
      </c>
      <c r="N12" s="94">
        <f>'Basisdaten Reach'!K21</f>
        <v>1054319</v>
      </c>
      <c r="O12" s="94">
        <f>'Basisdaten Reach'!L21</f>
        <v>1272509</v>
      </c>
      <c r="P12" s="94">
        <f>'Basisdaten Reach'!M21</f>
        <v>1495117</v>
      </c>
      <c r="Q12" s="99">
        <f t="shared" si="9"/>
        <v>20069571</v>
      </c>
      <c r="R12" s="94">
        <f>'Basisdaten Reach'!O21</f>
        <v>1224015</v>
      </c>
      <c r="S12" s="94">
        <f>'Basisdaten Reach'!P21</f>
        <v>1128833</v>
      </c>
      <c r="T12" s="94">
        <f>'Basisdaten Reach'!Q21</f>
        <v>1307098</v>
      </c>
      <c r="U12" s="94">
        <f>'Basisdaten Reach'!R21</f>
        <v>1365131</v>
      </c>
      <c r="V12" s="94">
        <f>'Basisdaten Reach'!S21</f>
        <v>1363722</v>
      </c>
      <c r="W12" s="94">
        <f>'Basisdaten Reach'!T21</f>
        <v>969252</v>
      </c>
      <c r="X12" s="94">
        <f>'Basisdaten Reach'!U21</f>
        <v>1607528</v>
      </c>
      <c r="Y12" s="94">
        <f>'Basisdaten Reach'!V21</f>
        <v>834365</v>
      </c>
      <c r="Z12" s="94">
        <f>'Basisdaten Reach'!W21</f>
        <v>1278170</v>
      </c>
      <c r="AA12" s="94">
        <f>'Basisdaten Reach'!X21</f>
        <v>1287848</v>
      </c>
      <c r="AB12" s="94">
        <f>'Basisdaten Reach'!Y21</f>
        <v>633642</v>
      </c>
      <c r="AC12" s="94">
        <f>'Basisdaten Reach'!Z21</f>
        <v>395758</v>
      </c>
      <c r="AD12" s="99">
        <f t="shared" si="10"/>
        <v>13395362</v>
      </c>
      <c r="AE12" s="94">
        <f>'Basisdaten Reach'!AB21</f>
        <v>987306</v>
      </c>
      <c r="AF12" s="94">
        <f>'Basisdaten Reach'!AC21</f>
        <v>671974</v>
      </c>
      <c r="AG12" s="94">
        <f>'Basisdaten Reach'!AD21</f>
        <v>473187</v>
      </c>
      <c r="AH12" s="94">
        <f>'Basisdaten Reach'!AE21</f>
        <v>339105</v>
      </c>
      <c r="AI12" s="94">
        <f>'Basisdaten Reach'!AF21</f>
        <v>362837</v>
      </c>
      <c r="AJ12" s="94">
        <f>'Basisdaten Reach'!AG21</f>
        <v>693175</v>
      </c>
      <c r="AK12" s="94">
        <f>'Basisdaten Reach'!AH21</f>
        <v>450723</v>
      </c>
      <c r="AL12" s="94">
        <f>'Basisdaten Reach'!AI21</f>
        <v>256062</v>
      </c>
      <c r="AM12" s="94">
        <f>'Basisdaten Reach'!AJ21</f>
        <v>0</v>
      </c>
      <c r="AN12" s="94">
        <f>'Basisdaten Reach'!AK21</f>
        <v>0</v>
      </c>
      <c r="AO12" s="94">
        <f>'Basisdaten Reach'!AL21</f>
        <v>0</v>
      </c>
      <c r="AP12" s="94">
        <f>'Basisdaten Reach'!AM21</f>
        <v>0</v>
      </c>
      <c r="AQ12" s="99">
        <f t="shared" si="11"/>
        <v>4234369</v>
      </c>
    </row>
    <row r="13" spans="1:43">
      <c r="A13" s="35"/>
      <c r="B13" s="63" t="s">
        <v>36</v>
      </c>
      <c r="C13" s="59" t="s">
        <v>15</v>
      </c>
      <c r="D13" s="63" t="s">
        <v>40</v>
      </c>
      <c r="E13" s="94">
        <f>'Basisdaten Reach'!B24</f>
        <v>572</v>
      </c>
      <c r="F13" s="94">
        <f>'Basisdaten Reach'!C24</f>
        <v>912</v>
      </c>
      <c r="G13" s="94">
        <f>'Basisdaten Reach'!D24</f>
        <v>2033</v>
      </c>
      <c r="H13" s="94">
        <f>'Basisdaten Reach'!E24</f>
        <v>19020</v>
      </c>
      <c r="I13" s="94">
        <f>'Basisdaten Reach'!F24</f>
        <v>119533</v>
      </c>
      <c r="J13" s="94">
        <f>'Basisdaten Reach'!G24</f>
        <v>201655</v>
      </c>
      <c r="K13" s="94">
        <f>'Basisdaten Reach'!H24</f>
        <v>237895</v>
      </c>
      <c r="L13" s="94">
        <f>'Basisdaten Reach'!I24</f>
        <v>479175</v>
      </c>
      <c r="M13" s="94">
        <f>'Basisdaten Reach'!J24</f>
        <v>657669</v>
      </c>
      <c r="N13" s="94">
        <f>'Basisdaten Reach'!K24</f>
        <v>389778</v>
      </c>
      <c r="O13" s="94">
        <f>'Basisdaten Reach'!L24</f>
        <v>3853727</v>
      </c>
      <c r="P13" s="94">
        <f>'Basisdaten Reach'!M24</f>
        <v>2827807</v>
      </c>
      <c r="Q13" s="99">
        <f t="shared" si="9"/>
        <v>8789776</v>
      </c>
      <c r="R13" s="94">
        <f>'Basisdaten Reach'!O24</f>
        <v>2552404</v>
      </c>
      <c r="S13" s="94">
        <f>'Basisdaten Reach'!P24</f>
        <v>1200507</v>
      </c>
      <c r="T13" s="94">
        <f>'Basisdaten Reach'!Q24</f>
        <v>1189766</v>
      </c>
      <c r="U13" s="94">
        <f>'Basisdaten Reach'!R24</f>
        <v>1260866</v>
      </c>
      <c r="V13" s="94">
        <f>'Basisdaten Reach'!S24</f>
        <v>753566</v>
      </c>
      <c r="W13" s="94">
        <f>'Basisdaten Reach'!T24</f>
        <v>961276</v>
      </c>
      <c r="X13" s="94">
        <f>'Basisdaten Reach'!U24</f>
        <v>547867</v>
      </c>
      <c r="Y13" s="94">
        <f>'Basisdaten Reach'!V24</f>
        <v>245825</v>
      </c>
      <c r="Z13" s="94">
        <f>'Basisdaten Reach'!W24</f>
        <v>239380</v>
      </c>
      <c r="AA13" s="94">
        <f>'Basisdaten Reach'!X24</f>
        <v>241536</v>
      </c>
      <c r="AB13" s="94">
        <f>'Basisdaten Reach'!Y24</f>
        <v>39937</v>
      </c>
      <c r="AC13" s="94">
        <f>'Basisdaten Reach'!Z24</f>
        <v>24769</v>
      </c>
      <c r="AD13" s="99">
        <f t="shared" si="10"/>
        <v>9257699</v>
      </c>
      <c r="AE13" s="94">
        <f>'Basisdaten Reach'!AB24</f>
        <v>78769</v>
      </c>
      <c r="AF13" s="94">
        <f>'Basisdaten Reach'!AC24</f>
        <v>12543</v>
      </c>
      <c r="AG13" s="94">
        <f>'Basisdaten Reach'!AD24</f>
        <v>42533</v>
      </c>
      <c r="AH13" s="94">
        <f>'Basisdaten Reach'!AE24</f>
        <v>17840</v>
      </c>
      <c r="AI13" s="94">
        <f>'Basisdaten Reach'!AF24</f>
        <v>57277</v>
      </c>
      <c r="AJ13" s="94">
        <f>'Basisdaten Reach'!AG24</f>
        <v>91690</v>
      </c>
      <c r="AK13" s="94">
        <f>'Basisdaten Reach'!AH24</f>
        <v>53790</v>
      </c>
      <c r="AL13" s="94">
        <f>'Basisdaten Reach'!AI24</f>
        <v>4651</v>
      </c>
      <c r="AM13" s="94">
        <f>'Basisdaten Reach'!AJ24</f>
        <v>0</v>
      </c>
      <c r="AN13" s="94">
        <f>'Basisdaten Reach'!AK24</f>
        <v>0</v>
      </c>
      <c r="AO13" s="94">
        <f>'Basisdaten Reach'!AL24</f>
        <v>0</v>
      </c>
      <c r="AP13" s="94">
        <f>'Basisdaten Reach'!AM24</f>
        <v>0</v>
      </c>
      <c r="AQ13" s="99">
        <f t="shared" si="11"/>
        <v>359093</v>
      </c>
    </row>
    <row r="14" spans="1:43">
      <c r="A14" s="35"/>
      <c r="B14" s="63" t="s">
        <v>36</v>
      </c>
      <c r="C14" s="59" t="s">
        <v>109</v>
      </c>
      <c r="D14" s="63" t="s">
        <v>40</v>
      </c>
      <c r="E14" s="94">
        <f>'Basisdaten Reach'!B28</f>
        <v>0</v>
      </c>
      <c r="F14" s="94">
        <f>'Basisdaten Reach'!C28</f>
        <v>0</v>
      </c>
      <c r="G14" s="94">
        <f>'Basisdaten Reach'!D28</f>
        <v>0</v>
      </c>
      <c r="H14" s="94">
        <f>'Basisdaten Reach'!E28</f>
        <v>0</v>
      </c>
      <c r="I14" s="94">
        <f>'Basisdaten Reach'!F28</f>
        <v>0</v>
      </c>
      <c r="J14" s="94">
        <f>'Basisdaten Reach'!G28</f>
        <v>0</v>
      </c>
      <c r="K14" s="94">
        <f>'Basisdaten Reach'!H28</f>
        <v>0</v>
      </c>
      <c r="L14" s="94">
        <f>'Basisdaten Reach'!I28</f>
        <v>0</v>
      </c>
      <c r="M14" s="94">
        <f>'Basisdaten Reach'!J28</f>
        <v>0</v>
      </c>
      <c r="N14" s="94">
        <f>'Basisdaten Reach'!K28</f>
        <v>0</v>
      </c>
      <c r="O14" s="94">
        <f>'Basisdaten Reach'!L28</f>
        <v>0</v>
      </c>
      <c r="P14" s="94">
        <f>'Basisdaten Reach'!M28</f>
        <v>0</v>
      </c>
      <c r="Q14" s="99">
        <f t="shared" si="9"/>
        <v>0</v>
      </c>
      <c r="R14" s="94">
        <f>'Basisdaten Reach'!O28</f>
        <v>165559</v>
      </c>
      <c r="S14" s="94">
        <f>'Basisdaten Reach'!P28</f>
        <v>133445</v>
      </c>
      <c r="T14" s="94">
        <f>'Basisdaten Reach'!Q28</f>
        <v>182484</v>
      </c>
      <c r="U14" s="94">
        <f>'Basisdaten Reach'!R28</f>
        <v>155969</v>
      </c>
      <c r="V14" s="94">
        <f>'Basisdaten Reach'!S28</f>
        <v>262665</v>
      </c>
      <c r="W14" s="94">
        <f>'Basisdaten Reach'!T28</f>
        <v>149312</v>
      </c>
      <c r="X14" s="94">
        <f>'Basisdaten Reach'!U28</f>
        <v>113643</v>
      </c>
      <c r="Y14" s="94">
        <f>'Basisdaten Reach'!V28</f>
        <v>140927</v>
      </c>
      <c r="Z14" s="94">
        <f>'Basisdaten Reach'!W28</f>
        <v>143691</v>
      </c>
      <c r="AA14" s="94">
        <f>'Basisdaten Reach'!X28</f>
        <v>136931</v>
      </c>
      <c r="AB14" s="94">
        <f>'Basisdaten Reach'!Y28</f>
        <v>12230</v>
      </c>
      <c r="AC14" s="94">
        <f>'Basisdaten Reach'!Z28</f>
        <v>17514</v>
      </c>
      <c r="AD14" s="99">
        <f t="shared" si="10"/>
        <v>1614370</v>
      </c>
      <c r="AE14" s="94">
        <f>'Basisdaten Reach'!AB28</f>
        <v>11371</v>
      </c>
      <c r="AF14" s="94">
        <f>'Basisdaten Reach'!AC28</f>
        <v>234</v>
      </c>
      <c r="AG14" s="94">
        <f>'Basisdaten Reach'!AD28</f>
        <v>2380</v>
      </c>
      <c r="AH14" s="94">
        <f>'Basisdaten Reach'!AE28</f>
        <v>0</v>
      </c>
      <c r="AI14" s="94">
        <f>'Basisdaten Reach'!AF28</f>
        <v>0</v>
      </c>
      <c r="AJ14" s="94">
        <f>'Basisdaten Reach'!AG28</f>
        <v>0</v>
      </c>
      <c r="AK14" s="94">
        <f>'Basisdaten Reach'!AH28</f>
        <v>0</v>
      </c>
      <c r="AL14" s="94">
        <f>'Basisdaten Reach'!AI28</f>
        <v>0</v>
      </c>
      <c r="AM14" s="94">
        <f>'Basisdaten Reach'!AJ28</f>
        <v>0</v>
      </c>
      <c r="AN14" s="94">
        <f>'Basisdaten Reach'!AK28</f>
        <v>0</v>
      </c>
      <c r="AO14" s="94">
        <f>'Basisdaten Reach'!AL28</f>
        <v>0</v>
      </c>
      <c r="AP14" s="94">
        <f>'Basisdaten Reach'!AM28</f>
        <v>0</v>
      </c>
      <c r="AQ14" s="99">
        <f t="shared" si="11"/>
        <v>13985</v>
      </c>
    </row>
    <row r="15" spans="1:43">
      <c r="A15" s="35"/>
      <c r="B15" s="86" t="s">
        <v>43</v>
      </c>
      <c r="C15" s="85" t="s">
        <v>108</v>
      </c>
      <c r="D15" s="86" t="s">
        <v>40</v>
      </c>
      <c r="E15" s="93">
        <f>'Basisdaten Reach'!B62</f>
        <v>0</v>
      </c>
      <c r="F15" s="93">
        <f>'Basisdaten Reach'!C62</f>
        <v>309106</v>
      </c>
      <c r="G15" s="93">
        <f>'Basisdaten Reach'!D62</f>
        <v>769543</v>
      </c>
      <c r="H15" s="93">
        <f>'Basisdaten Reach'!E62</f>
        <v>1024715</v>
      </c>
      <c r="I15" s="93">
        <f>'Basisdaten Reach'!F62</f>
        <v>1092279</v>
      </c>
      <c r="J15" s="93">
        <f>'Basisdaten Reach'!G62</f>
        <v>1036774</v>
      </c>
      <c r="K15" s="93">
        <f>'Basisdaten Reach'!H62</f>
        <v>1057573</v>
      </c>
      <c r="L15" s="93">
        <f>'Basisdaten Reach'!I62</f>
        <v>1308579</v>
      </c>
      <c r="M15" s="93">
        <f>'Basisdaten Reach'!J62</f>
        <v>1353970</v>
      </c>
      <c r="N15" s="93">
        <f>'Basisdaten Reach'!K62</f>
        <v>1327869</v>
      </c>
      <c r="O15" s="93">
        <f>'Basisdaten Reach'!L62</f>
        <v>1342113</v>
      </c>
      <c r="P15" s="93">
        <f>'Basisdaten Reach'!M62</f>
        <v>1636933</v>
      </c>
      <c r="Q15" s="98">
        <f t="shared" si="9"/>
        <v>12259454</v>
      </c>
      <c r="R15" s="93">
        <f>'Basisdaten Reach'!O62</f>
        <v>662501</v>
      </c>
      <c r="S15" s="93">
        <f>'Basisdaten Reach'!P62</f>
        <v>31832</v>
      </c>
      <c r="T15" s="93">
        <f>'Basisdaten Reach'!Q62</f>
        <v>91028</v>
      </c>
      <c r="U15" s="93">
        <f>'Basisdaten Reach'!R62</f>
        <v>134112</v>
      </c>
      <c r="V15" s="93">
        <f>'Basisdaten Reach'!S62</f>
        <v>64859</v>
      </c>
      <c r="W15" s="93">
        <f>'Basisdaten Reach'!T62</f>
        <v>72773</v>
      </c>
      <c r="X15" s="93">
        <f>'Basisdaten Reach'!U62</f>
        <v>0</v>
      </c>
      <c r="Y15" s="93">
        <f>'Basisdaten Reach'!V62</f>
        <v>0</v>
      </c>
      <c r="Z15" s="93">
        <f>'Basisdaten Reach'!W62</f>
        <v>0</v>
      </c>
      <c r="AA15" s="93">
        <f>'Basisdaten Reach'!X62</f>
        <v>0</v>
      </c>
      <c r="AB15" s="93">
        <f>'Basisdaten Reach'!Y62</f>
        <v>0</v>
      </c>
      <c r="AC15" s="93">
        <f>'Basisdaten Reach'!Z62</f>
        <v>0</v>
      </c>
      <c r="AD15" s="98">
        <f t="shared" si="10"/>
        <v>1057105</v>
      </c>
      <c r="AE15" s="93">
        <f>'Basisdaten Reach'!AB62</f>
        <v>0</v>
      </c>
      <c r="AF15" s="93">
        <f>'Basisdaten Reach'!AC62</f>
        <v>0</v>
      </c>
      <c r="AG15" s="93">
        <f>'Basisdaten Reach'!AD62</f>
        <v>0</v>
      </c>
      <c r="AH15" s="93">
        <f>'Basisdaten Reach'!AE62</f>
        <v>0</v>
      </c>
      <c r="AI15" s="93">
        <f>'Basisdaten Reach'!AF62</f>
        <v>0</v>
      </c>
      <c r="AJ15" s="93">
        <f>'Basisdaten Reach'!AG62</f>
        <v>0</v>
      </c>
      <c r="AK15" s="93">
        <f>'Basisdaten Reach'!AH62</f>
        <v>0</v>
      </c>
      <c r="AL15" s="93">
        <f>'Basisdaten Reach'!AI62</f>
        <v>0</v>
      </c>
      <c r="AM15" s="93">
        <f>'Basisdaten Reach'!AJ62</f>
        <v>0</v>
      </c>
      <c r="AN15" s="93">
        <f>'Basisdaten Reach'!AK62</f>
        <v>0</v>
      </c>
      <c r="AO15" s="93">
        <f>'Basisdaten Reach'!AL62</f>
        <v>0</v>
      </c>
      <c r="AP15" s="93">
        <f>'Basisdaten Reach'!AM62</f>
        <v>0</v>
      </c>
      <c r="AQ15" s="98">
        <f t="shared" si="11"/>
        <v>0</v>
      </c>
    </row>
    <row r="16" spans="1:43">
      <c r="A16" s="35"/>
      <c r="B16" s="33" t="s">
        <v>42</v>
      </c>
      <c r="C16" s="59" t="s">
        <v>108</v>
      </c>
      <c r="D16" s="33" t="s">
        <v>40</v>
      </c>
      <c r="E16" s="94">
        <f>'Basisdaten Reach'!B61</f>
        <v>429102</v>
      </c>
      <c r="F16" s="94">
        <f>'Basisdaten Reach'!C61</f>
        <v>0</v>
      </c>
      <c r="G16" s="94">
        <f>'Basisdaten Reach'!D61</f>
        <v>0</v>
      </c>
      <c r="H16" s="94">
        <f>'Basisdaten Reach'!E61</f>
        <v>828245</v>
      </c>
      <c r="I16" s="94">
        <f>'Basisdaten Reach'!F61</f>
        <v>0</v>
      </c>
      <c r="J16" s="94">
        <f>'Basisdaten Reach'!G61</f>
        <v>0</v>
      </c>
      <c r="K16" s="94">
        <f>'Basisdaten Reach'!H61</f>
        <v>345177</v>
      </c>
      <c r="L16" s="94">
        <f>'Basisdaten Reach'!I61</f>
        <v>421431</v>
      </c>
      <c r="M16" s="94">
        <f>'Basisdaten Reach'!J61</f>
        <v>786689</v>
      </c>
      <c r="N16" s="94">
        <f>'Basisdaten Reach'!K61</f>
        <v>1580015</v>
      </c>
      <c r="O16" s="94">
        <f>'Basisdaten Reach'!L61</f>
        <v>199500</v>
      </c>
      <c r="P16" s="94">
        <f>'Basisdaten Reach'!M61</f>
        <v>589432</v>
      </c>
      <c r="Q16" s="99">
        <f t="shared" si="9"/>
        <v>5179591</v>
      </c>
      <c r="R16" s="94">
        <f>'Basisdaten Reach'!O61</f>
        <v>569843</v>
      </c>
      <c r="S16" s="94">
        <f>'Basisdaten Reach'!P61</f>
        <v>1026711</v>
      </c>
      <c r="T16" s="94">
        <f>'Basisdaten Reach'!Q61</f>
        <v>492558</v>
      </c>
      <c r="U16" s="94">
        <f>'Basisdaten Reach'!R61</f>
        <v>984964</v>
      </c>
      <c r="V16" s="94">
        <f>'Basisdaten Reach'!S61</f>
        <v>310067</v>
      </c>
      <c r="W16" s="94">
        <f>'Basisdaten Reach'!T61</f>
        <v>250808</v>
      </c>
      <c r="X16" s="94">
        <f>'Basisdaten Reach'!U61</f>
        <v>148145</v>
      </c>
      <c r="Y16" s="94">
        <f>'Basisdaten Reach'!V61</f>
        <v>169397</v>
      </c>
      <c r="Z16" s="94">
        <f>'Basisdaten Reach'!W61</f>
        <v>484884</v>
      </c>
      <c r="AA16" s="94">
        <f>'Basisdaten Reach'!X61</f>
        <v>375778</v>
      </c>
      <c r="AB16" s="94">
        <f>'Basisdaten Reach'!Y61</f>
        <v>211575</v>
      </c>
      <c r="AC16" s="94">
        <f>'Basisdaten Reach'!Z61</f>
        <v>248398</v>
      </c>
      <c r="AD16" s="99">
        <f t="shared" si="10"/>
        <v>5273128</v>
      </c>
      <c r="AE16" s="94">
        <f>'Basisdaten Reach'!AB61</f>
        <v>1803532</v>
      </c>
      <c r="AF16" s="94">
        <f>'Basisdaten Reach'!AC61</f>
        <v>1260613</v>
      </c>
      <c r="AG16" s="94">
        <f>'Basisdaten Reach'!AD61</f>
        <v>683285</v>
      </c>
      <c r="AH16" s="94">
        <f>'Basisdaten Reach'!AE61</f>
        <v>511532</v>
      </c>
      <c r="AI16" s="94">
        <f>'Basisdaten Reach'!AF61</f>
        <v>296270</v>
      </c>
      <c r="AJ16" s="94">
        <f>'Basisdaten Reach'!AG61</f>
        <v>327786</v>
      </c>
      <c r="AK16" s="94">
        <f>'Basisdaten Reach'!AH61</f>
        <v>2487984</v>
      </c>
      <c r="AL16" s="94">
        <f>'Basisdaten Reach'!AI61</f>
        <v>1031274</v>
      </c>
      <c r="AM16" s="94">
        <f>'Basisdaten Reach'!AJ61</f>
        <v>0</v>
      </c>
      <c r="AN16" s="94">
        <f>'Basisdaten Reach'!AK61</f>
        <v>0</v>
      </c>
      <c r="AO16" s="94">
        <f>'Basisdaten Reach'!AL61</f>
        <v>0</v>
      </c>
      <c r="AP16" s="94">
        <f>'Basisdaten Reach'!AM61</f>
        <v>0</v>
      </c>
      <c r="AQ16" s="99">
        <f t="shared" si="11"/>
        <v>8402276</v>
      </c>
    </row>
    <row r="17" spans="1:43">
      <c r="A17" s="35"/>
      <c r="B17" s="128" t="s">
        <v>25</v>
      </c>
      <c r="C17" s="85" t="s">
        <v>108</v>
      </c>
      <c r="D17" s="86" t="s">
        <v>40</v>
      </c>
      <c r="E17" s="93">
        <f>'Basisdaten Reach'!B67</f>
        <v>214310</v>
      </c>
      <c r="F17" s="93">
        <f>'Basisdaten Reach'!C67</f>
        <v>208716</v>
      </c>
      <c r="G17" s="93">
        <f>'Basisdaten Reach'!D67</f>
        <v>259126</v>
      </c>
      <c r="H17" s="93">
        <f>'Basisdaten Reach'!E67</f>
        <v>287589</v>
      </c>
      <c r="I17" s="93">
        <f>'Basisdaten Reach'!F67</f>
        <v>197815</v>
      </c>
      <c r="J17" s="93">
        <f>'Basisdaten Reach'!G67</f>
        <v>283569</v>
      </c>
      <c r="K17" s="93">
        <f>'Basisdaten Reach'!H67</f>
        <v>313250</v>
      </c>
      <c r="L17" s="93">
        <f>'Basisdaten Reach'!I67</f>
        <v>316701</v>
      </c>
      <c r="M17" s="93">
        <f>'Basisdaten Reach'!J67</f>
        <v>397073</v>
      </c>
      <c r="N17" s="93">
        <f>'Basisdaten Reach'!K67</f>
        <v>240993</v>
      </c>
      <c r="O17" s="93">
        <f>'Basisdaten Reach'!L67</f>
        <v>263003</v>
      </c>
      <c r="P17" s="93">
        <f>'Basisdaten Reach'!M67</f>
        <v>283621</v>
      </c>
      <c r="Q17" s="98">
        <f t="shared" si="9"/>
        <v>3265766</v>
      </c>
      <c r="R17" s="93">
        <f>'Basisdaten Reach'!O67</f>
        <v>187631</v>
      </c>
      <c r="S17" s="93">
        <f>'Basisdaten Reach'!P67</f>
        <v>186680</v>
      </c>
      <c r="T17" s="93">
        <f>'Basisdaten Reach'!Q67</f>
        <v>218186</v>
      </c>
      <c r="U17" s="93">
        <f>'Basisdaten Reach'!R67</f>
        <v>214977</v>
      </c>
      <c r="V17" s="93">
        <f>'Basisdaten Reach'!S67</f>
        <v>220424</v>
      </c>
      <c r="W17" s="93">
        <f>'Basisdaten Reach'!T67</f>
        <v>156766</v>
      </c>
      <c r="X17" s="93">
        <f>'Basisdaten Reach'!U67</f>
        <v>163588</v>
      </c>
      <c r="Y17" s="93">
        <f>'Basisdaten Reach'!V67</f>
        <v>124053</v>
      </c>
      <c r="Z17" s="93">
        <f>'Basisdaten Reach'!W67</f>
        <v>145705</v>
      </c>
      <c r="AA17" s="93">
        <f>'Basisdaten Reach'!X67</f>
        <v>163368</v>
      </c>
      <c r="AB17" s="93">
        <f>'Basisdaten Reach'!Y67</f>
        <v>164947</v>
      </c>
      <c r="AC17" s="93">
        <f>'Basisdaten Reach'!Z67</f>
        <v>138546</v>
      </c>
      <c r="AD17" s="98">
        <f t="shared" si="10"/>
        <v>2084871</v>
      </c>
      <c r="AE17" s="93">
        <f>'Basisdaten Reach'!AB67</f>
        <v>127005</v>
      </c>
      <c r="AF17" s="93">
        <f>'Basisdaten Reach'!AC67</f>
        <v>100018</v>
      </c>
      <c r="AG17" s="93">
        <f>'Basisdaten Reach'!AD67</f>
        <v>86397</v>
      </c>
      <c r="AH17" s="93">
        <f>'Basisdaten Reach'!AE67</f>
        <v>65508</v>
      </c>
      <c r="AI17" s="93">
        <f>'Basisdaten Reach'!AF67</f>
        <v>51276</v>
      </c>
      <c r="AJ17" s="93">
        <f>'Basisdaten Reach'!AG67</f>
        <v>0</v>
      </c>
      <c r="AK17" s="93">
        <f>'Basisdaten Reach'!AH67</f>
        <v>0</v>
      </c>
      <c r="AL17" s="93">
        <f>'Basisdaten Reach'!AI67</f>
        <v>0</v>
      </c>
      <c r="AM17" s="93">
        <f>'Basisdaten Reach'!AJ67</f>
        <v>0</v>
      </c>
      <c r="AN17" s="93">
        <f>'Basisdaten Reach'!AK67</f>
        <v>0</v>
      </c>
      <c r="AO17" s="93">
        <f>'Basisdaten Reach'!AL67</f>
        <v>0</v>
      </c>
      <c r="AP17" s="93">
        <f>'Basisdaten Reach'!AM67</f>
        <v>0</v>
      </c>
      <c r="AQ17" s="98">
        <f t="shared" si="11"/>
        <v>430204</v>
      </c>
    </row>
    <row r="18" spans="1:43">
      <c r="A18" s="35"/>
      <c r="B18" s="128" t="s">
        <v>25</v>
      </c>
      <c r="C18" s="85" t="s">
        <v>15</v>
      </c>
      <c r="D18" s="86" t="s">
        <v>40</v>
      </c>
      <c r="E18" s="93">
        <f>'Basisdaten Reach'!B68</f>
        <v>12596</v>
      </c>
      <c r="F18" s="93">
        <f>'Basisdaten Reach'!C68</f>
        <v>13717</v>
      </c>
      <c r="G18" s="93">
        <f>'Basisdaten Reach'!D68</f>
        <v>41862</v>
      </c>
      <c r="H18" s="93">
        <f>'Basisdaten Reach'!E68</f>
        <v>28126</v>
      </c>
      <c r="I18" s="93">
        <f>'Basisdaten Reach'!F68</f>
        <v>31896</v>
      </c>
      <c r="J18" s="93">
        <f>'Basisdaten Reach'!G68</f>
        <v>18075</v>
      </c>
      <c r="K18" s="93">
        <f>'Basisdaten Reach'!H68</f>
        <v>8557</v>
      </c>
      <c r="L18" s="93">
        <f>'Basisdaten Reach'!I68</f>
        <v>5949</v>
      </c>
      <c r="M18" s="93">
        <f>'Basisdaten Reach'!J68</f>
        <v>19328</v>
      </c>
      <c r="N18" s="93">
        <f>'Basisdaten Reach'!K68</f>
        <v>8585</v>
      </c>
      <c r="O18" s="93">
        <f>'Basisdaten Reach'!L68</f>
        <v>6675</v>
      </c>
      <c r="P18" s="93">
        <f>'Basisdaten Reach'!M68</f>
        <v>19601</v>
      </c>
      <c r="Q18" s="98">
        <f t="shared" si="9"/>
        <v>214967</v>
      </c>
      <c r="R18" s="93">
        <f>'Basisdaten Reach'!O68</f>
        <v>9108</v>
      </c>
      <c r="S18" s="93">
        <f>'Basisdaten Reach'!P68</f>
        <v>5315</v>
      </c>
      <c r="T18" s="93">
        <f>'Basisdaten Reach'!Q68</f>
        <v>13667</v>
      </c>
      <c r="U18" s="93">
        <f>'Basisdaten Reach'!R68</f>
        <v>8865</v>
      </c>
      <c r="V18" s="93">
        <f>'Basisdaten Reach'!S68</f>
        <v>6657</v>
      </c>
      <c r="W18" s="93">
        <f>'Basisdaten Reach'!T68</f>
        <v>8905</v>
      </c>
      <c r="X18" s="93">
        <f>'Basisdaten Reach'!U68</f>
        <v>9728</v>
      </c>
      <c r="Y18" s="93">
        <f>'Basisdaten Reach'!V68</f>
        <v>17268</v>
      </c>
      <c r="Z18" s="93">
        <f>'Basisdaten Reach'!W68</f>
        <v>2119</v>
      </c>
      <c r="AA18" s="93">
        <f>'Basisdaten Reach'!X68</f>
        <v>3892</v>
      </c>
      <c r="AB18" s="93">
        <f>'Basisdaten Reach'!Y68</f>
        <v>4657</v>
      </c>
      <c r="AC18" s="93">
        <f>'Basisdaten Reach'!Z68</f>
        <v>3583</v>
      </c>
      <c r="AD18" s="98">
        <f t="shared" si="10"/>
        <v>93764</v>
      </c>
      <c r="AE18" s="93">
        <f>'Basisdaten Reach'!AB68</f>
        <v>3630</v>
      </c>
      <c r="AF18" s="93">
        <f>'Basisdaten Reach'!AC68</f>
        <v>4217</v>
      </c>
      <c r="AG18" s="93">
        <f>'Basisdaten Reach'!AD68</f>
        <v>5399</v>
      </c>
      <c r="AH18" s="93">
        <f>'Basisdaten Reach'!AE68</f>
        <v>5863</v>
      </c>
      <c r="AI18" s="93">
        <f>'Basisdaten Reach'!AF68</f>
        <v>5753</v>
      </c>
      <c r="AJ18" s="93">
        <f>'Basisdaten Reach'!AG68</f>
        <v>0</v>
      </c>
      <c r="AK18" s="93">
        <f>'Basisdaten Reach'!AH68</f>
        <v>0</v>
      </c>
      <c r="AL18" s="93">
        <f>'Basisdaten Reach'!AI68</f>
        <v>0</v>
      </c>
      <c r="AM18" s="93">
        <f>'Basisdaten Reach'!AJ68</f>
        <v>0</v>
      </c>
      <c r="AN18" s="93">
        <f>'Basisdaten Reach'!AK68</f>
        <v>0</v>
      </c>
      <c r="AO18" s="93">
        <f>'Basisdaten Reach'!AL68</f>
        <v>0</v>
      </c>
      <c r="AP18" s="93">
        <f>'Basisdaten Reach'!AM68</f>
        <v>0</v>
      </c>
      <c r="AQ18" s="98">
        <f t="shared" si="11"/>
        <v>24862</v>
      </c>
    </row>
    <row r="19" spans="1:43">
      <c r="A19" s="35"/>
      <c r="B19" s="128" t="s">
        <v>25</v>
      </c>
      <c r="C19" s="85" t="s">
        <v>109</v>
      </c>
      <c r="D19" s="86" t="s">
        <v>40</v>
      </c>
      <c r="E19" s="93">
        <f>'Basisdaten Reach'!B69</f>
        <v>11847</v>
      </c>
      <c r="F19" s="93">
        <f>'Basisdaten Reach'!C69</f>
        <v>13271</v>
      </c>
      <c r="G19" s="93">
        <f>'Basisdaten Reach'!D69</f>
        <v>28189</v>
      </c>
      <c r="H19" s="93">
        <f>'Basisdaten Reach'!E69</f>
        <v>24577</v>
      </c>
      <c r="I19" s="93">
        <f>'Basisdaten Reach'!F69</f>
        <v>19057</v>
      </c>
      <c r="J19" s="93">
        <f>'Basisdaten Reach'!G69</f>
        <v>13191</v>
      </c>
      <c r="K19" s="93">
        <f>'Basisdaten Reach'!H69</f>
        <v>8272</v>
      </c>
      <c r="L19" s="93">
        <f>'Basisdaten Reach'!I69</f>
        <v>5978</v>
      </c>
      <c r="M19" s="93">
        <f>'Basisdaten Reach'!J69</f>
        <v>10029</v>
      </c>
      <c r="N19" s="93">
        <f>'Basisdaten Reach'!K69</f>
        <v>4697</v>
      </c>
      <c r="O19" s="93">
        <f>'Basisdaten Reach'!L69</f>
        <v>5297</v>
      </c>
      <c r="P19" s="93">
        <f>'Basisdaten Rev'!M53</f>
        <v>2.4700000000000002</v>
      </c>
      <c r="Q19" s="98">
        <f t="shared" si="9"/>
        <v>144407.47</v>
      </c>
      <c r="R19" s="93">
        <f>'Basisdaten Reach'!O69</f>
        <v>31789</v>
      </c>
      <c r="S19" s="93">
        <f>'Basisdaten Reach'!P69</f>
        <v>35218</v>
      </c>
      <c r="T19" s="93">
        <f>'Basisdaten Reach'!Q69</f>
        <v>23030</v>
      </c>
      <c r="U19" s="93">
        <f>'Basisdaten Reach'!R69</f>
        <v>23302</v>
      </c>
      <c r="V19" s="93">
        <f>'Basisdaten Reach'!S69</f>
        <v>33282</v>
      </c>
      <c r="W19" s="93">
        <f>'Basisdaten Reach'!T69</f>
        <v>13159</v>
      </c>
      <c r="X19" s="93">
        <f>'Basisdaten Reach'!U69</f>
        <v>13257</v>
      </c>
      <c r="Y19" s="93">
        <f>'Basisdaten Reach'!V69</f>
        <v>12285</v>
      </c>
      <c r="Z19" s="93">
        <f>'Basisdaten Reach'!W69</f>
        <v>11466</v>
      </c>
      <c r="AA19" s="93">
        <f>'Basisdaten Reach'!X69</f>
        <v>8039</v>
      </c>
      <c r="AB19" s="93">
        <f>'Basisdaten Reach'!Y69</f>
        <v>11493</v>
      </c>
      <c r="AC19" s="93">
        <f>'Basisdaten Reach'!Z69</f>
        <v>8157</v>
      </c>
      <c r="AD19" s="98">
        <f t="shared" si="10"/>
        <v>224477</v>
      </c>
      <c r="AE19" s="93">
        <f>'Basisdaten Reach'!AB69</f>
        <v>4545</v>
      </c>
      <c r="AF19" s="93">
        <f>'Basisdaten Reach'!AC69</f>
        <v>1669</v>
      </c>
      <c r="AG19" s="93">
        <f>'Basisdaten Reach'!AD69</f>
        <v>2049</v>
      </c>
      <c r="AH19" s="93">
        <f>'Basisdaten Reach'!AE69</f>
        <v>362</v>
      </c>
      <c r="AI19" s="93">
        <f>'Basisdaten Reach'!AF69</f>
        <v>89</v>
      </c>
      <c r="AJ19" s="93">
        <f>'Basisdaten Reach'!AG69</f>
        <v>0</v>
      </c>
      <c r="AK19" s="93">
        <f>'Basisdaten Reach'!AH69</f>
        <v>0</v>
      </c>
      <c r="AL19" s="93">
        <f>'Basisdaten Reach'!AI69</f>
        <v>0</v>
      </c>
      <c r="AM19" s="93">
        <f>'Basisdaten Reach'!AJ69</f>
        <v>0</v>
      </c>
      <c r="AN19" s="93">
        <f>'Basisdaten Reach'!AK69</f>
        <v>0</v>
      </c>
      <c r="AO19" s="93">
        <f>'Basisdaten Reach'!AL69</f>
        <v>0</v>
      </c>
      <c r="AP19" s="93">
        <f>'Basisdaten Reach'!AM69</f>
        <v>0</v>
      </c>
      <c r="AQ19" s="98">
        <f t="shared" si="11"/>
        <v>8714</v>
      </c>
    </row>
    <row r="20" spans="1:43">
      <c r="A20" s="35"/>
      <c r="B20" s="38" t="s">
        <v>41</v>
      </c>
      <c r="C20" s="58" t="s">
        <v>108</v>
      </c>
      <c r="D20" s="33" t="s">
        <v>39</v>
      </c>
      <c r="E20" s="94">
        <f>'Basisdaten Reach'!B64</f>
        <v>436033</v>
      </c>
      <c r="F20" s="94">
        <f>'Basisdaten Reach'!C64</f>
        <v>407304</v>
      </c>
      <c r="G20" s="94">
        <f>'Basisdaten Reach'!D64</f>
        <v>423852</v>
      </c>
      <c r="H20" s="94">
        <f>'Basisdaten Reach'!E64</f>
        <v>419956</v>
      </c>
      <c r="I20" s="94">
        <f>'Basisdaten Reach'!F64</f>
        <v>397342</v>
      </c>
      <c r="J20" s="94">
        <f>'Basisdaten Reach'!G64</f>
        <v>382951</v>
      </c>
      <c r="K20" s="94">
        <f>'Basisdaten Reach'!H64</f>
        <v>411854</v>
      </c>
      <c r="L20" s="94">
        <f>'Basisdaten Reach'!I64</f>
        <v>424799</v>
      </c>
      <c r="M20" s="94">
        <f>'Basisdaten Reach'!J64</f>
        <v>420988</v>
      </c>
      <c r="N20" s="94">
        <f>'Basisdaten Reach'!K64</f>
        <v>354796</v>
      </c>
      <c r="O20" s="94">
        <f>'Basisdaten Reach'!L64</f>
        <v>330370</v>
      </c>
      <c r="P20" s="94">
        <f>'Basisdaten Reach'!M64</f>
        <v>479044</v>
      </c>
      <c r="Q20" s="99">
        <f t="shared" si="9"/>
        <v>4889289</v>
      </c>
      <c r="R20" s="94">
        <f>'Basisdaten Reach'!O64</f>
        <v>355591</v>
      </c>
      <c r="S20" s="94">
        <f>'Basisdaten Reach'!P64</f>
        <v>471035</v>
      </c>
      <c r="T20" s="94">
        <f>'Basisdaten Reach'!Q64</f>
        <v>516028</v>
      </c>
      <c r="U20" s="94">
        <f>'Basisdaten Reach'!R64</f>
        <v>493980</v>
      </c>
      <c r="V20" s="94">
        <f>'Basisdaten Reach'!S64</f>
        <v>452177</v>
      </c>
      <c r="W20" s="94">
        <f>'Basisdaten Reach'!T64</f>
        <v>307969</v>
      </c>
      <c r="X20" s="94">
        <f>'Basisdaten Reach'!U64</f>
        <v>402660</v>
      </c>
      <c r="Y20" s="94">
        <f>'Basisdaten Reach'!V64</f>
        <v>341014</v>
      </c>
      <c r="Z20" s="94">
        <f>'Basisdaten Reach'!W64</f>
        <v>264252</v>
      </c>
      <c r="AA20" s="94">
        <f>'Basisdaten Reach'!X64</f>
        <v>277546</v>
      </c>
      <c r="AB20" s="94">
        <f>'Basisdaten Reach'!Y64</f>
        <v>262326</v>
      </c>
      <c r="AC20" s="94">
        <f>'Basisdaten Reach'!Z64</f>
        <v>333560</v>
      </c>
      <c r="AD20" s="99">
        <f t="shared" si="10"/>
        <v>4478138</v>
      </c>
      <c r="AE20" s="94">
        <f>'Basisdaten Reach'!AB64</f>
        <v>301717</v>
      </c>
      <c r="AF20" s="94">
        <f>'Basisdaten Reach'!AC64</f>
        <v>260717</v>
      </c>
      <c r="AG20" s="94">
        <f>'Basisdaten Reach'!AD64</f>
        <v>315900</v>
      </c>
      <c r="AH20" s="94">
        <f>'Basisdaten Reach'!AE64</f>
        <v>275088</v>
      </c>
      <c r="AI20" s="94">
        <f>'Basisdaten Reach'!AF64</f>
        <v>288315</v>
      </c>
      <c r="AJ20" s="94">
        <f>'Basisdaten Reach'!AG64</f>
        <v>366957</v>
      </c>
      <c r="AK20" s="94">
        <f>'Basisdaten Reach'!AH64</f>
        <v>260710</v>
      </c>
      <c r="AL20" s="94">
        <f>'Basisdaten Reach'!AI64</f>
        <v>204849</v>
      </c>
      <c r="AM20" s="94">
        <f>'Basisdaten Reach'!AJ64</f>
        <v>0</v>
      </c>
      <c r="AN20" s="94">
        <f>'Basisdaten Reach'!AK64</f>
        <v>0</v>
      </c>
      <c r="AO20" s="94">
        <f>'Basisdaten Reach'!AL64</f>
        <v>0</v>
      </c>
      <c r="AP20" s="94">
        <f>'Basisdaten Reach'!AM64</f>
        <v>0</v>
      </c>
      <c r="AQ20" s="99">
        <f t="shared" si="11"/>
        <v>2274253</v>
      </c>
    </row>
    <row r="21" spans="1:43">
      <c r="A21" s="35"/>
      <c r="B21" s="38" t="s">
        <v>41</v>
      </c>
      <c r="C21" s="58" t="s">
        <v>15</v>
      </c>
      <c r="D21" s="33" t="s">
        <v>39</v>
      </c>
      <c r="E21" s="94">
        <f>'Basisdaten Reach'!B65</f>
        <v>7738</v>
      </c>
      <c r="F21" s="94">
        <f>'Basisdaten Reach'!C65</f>
        <v>4307</v>
      </c>
      <c r="G21" s="94">
        <f>'Basisdaten Reach'!D65</f>
        <v>13270</v>
      </c>
      <c r="H21" s="94">
        <f>'Basisdaten Reach'!E65</f>
        <v>9136</v>
      </c>
      <c r="I21" s="94">
        <f>'Basisdaten Reach'!F65</f>
        <v>15433</v>
      </c>
      <c r="J21" s="94">
        <f>'Basisdaten Reach'!G65</f>
        <v>4706</v>
      </c>
      <c r="K21" s="94">
        <f>'Basisdaten Reach'!H65</f>
        <v>3370</v>
      </c>
      <c r="L21" s="94">
        <f>'Basisdaten Reach'!I65</f>
        <v>3321</v>
      </c>
      <c r="M21" s="94">
        <f>'Basisdaten Reach'!J65</f>
        <v>19314</v>
      </c>
      <c r="N21" s="94">
        <f>'Basisdaten Reach'!K65</f>
        <v>12386</v>
      </c>
      <c r="O21" s="94">
        <f>'Basisdaten Reach'!L65</f>
        <v>22463</v>
      </c>
      <c r="P21" s="94">
        <f>'Basisdaten Reach'!M65</f>
        <v>81770</v>
      </c>
      <c r="Q21" s="99">
        <f t="shared" si="9"/>
        <v>197214</v>
      </c>
      <c r="R21" s="94">
        <f>'Basisdaten Reach'!O65</f>
        <v>47475</v>
      </c>
      <c r="S21" s="94">
        <f>'Basisdaten Reach'!P65</f>
        <v>135637</v>
      </c>
      <c r="T21" s="94">
        <f>'Basisdaten Reach'!Q65</f>
        <v>72476</v>
      </c>
      <c r="U21" s="94">
        <f>'Basisdaten Reach'!R65</f>
        <v>71736</v>
      </c>
      <c r="V21" s="94">
        <f>'Basisdaten Reach'!S65</f>
        <v>23870</v>
      </c>
      <c r="W21" s="94">
        <f>'Basisdaten Reach'!T65</f>
        <v>37506</v>
      </c>
      <c r="X21" s="94">
        <f>'Basisdaten Reach'!U65</f>
        <v>59493</v>
      </c>
      <c r="Y21" s="94">
        <f>'Basisdaten Reach'!V65</f>
        <v>47639</v>
      </c>
      <c r="Z21" s="94">
        <f>'Basisdaten Reach'!W65</f>
        <v>24843</v>
      </c>
      <c r="AA21" s="94">
        <f>'Basisdaten Reach'!X65</f>
        <v>29863</v>
      </c>
      <c r="AB21" s="94">
        <f>'Basisdaten Reach'!Y65</f>
        <v>11752</v>
      </c>
      <c r="AC21" s="94">
        <f>'Basisdaten Reach'!Z65</f>
        <v>2348</v>
      </c>
      <c r="AD21" s="99">
        <f t="shared" si="10"/>
        <v>564638</v>
      </c>
      <c r="AE21" s="94">
        <f>'Basisdaten Reach'!AB65</f>
        <v>4310</v>
      </c>
      <c r="AF21" s="94">
        <f>'Basisdaten Reach'!AC65</f>
        <v>2086</v>
      </c>
      <c r="AG21" s="94">
        <f>'Basisdaten Reach'!AD65</f>
        <v>4248</v>
      </c>
      <c r="AH21" s="94">
        <f>'Basisdaten Reach'!AE65</f>
        <v>2413</v>
      </c>
      <c r="AI21" s="94">
        <f>'Basisdaten Reach'!AF65</f>
        <v>7236</v>
      </c>
      <c r="AJ21" s="94">
        <f>'Basisdaten Reach'!AG65</f>
        <v>9791</v>
      </c>
      <c r="AK21" s="94">
        <f>'Basisdaten Reach'!AH65</f>
        <v>4319</v>
      </c>
      <c r="AL21" s="94">
        <f>'Basisdaten Reach'!AI65</f>
        <v>3788</v>
      </c>
      <c r="AM21" s="94">
        <f>'Basisdaten Reach'!AJ65</f>
        <v>0</v>
      </c>
      <c r="AN21" s="94">
        <f>'Basisdaten Reach'!AK65</f>
        <v>0</v>
      </c>
      <c r="AO21" s="94">
        <f>'Basisdaten Reach'!AL65</f>
        <v>0</v>
      </c>
      <c r="AP21" s="94">
        <f>'Basisdaten Reach'!AM65</f>
        <v>0</v>
      </c>
      <c r="AQ21" s="99">
        <f t="shared" si="11"/>
        <v>38191</v>
      </c>
    </row>
    <row r="22" spans="1:43">
      <c r="A22" s="35"/>
      <c r="B22" s="67" t="s">
        <v>30</v>
      </c>
      <c r="C22" s="85" t="s">
        <v>108</v>
      </c>
      <c r="D22" s="86" t="s">
        <v>40</v>
      </c>
      <c r="E22" s="93">
        <f>'Basisdaten Reach'!B30</f>
        <v>2016143</v>
      </c>
      <c r="F22" s="93">
        <f>'Basisdaten Reach'!C30</f>
        <v>2305664</v>
      </c>
      <c r="G22" s="93">
        <f>'Basisdaten Reach'!D30</f>
        <v>1734180</v>
      </c>
      <c r="H22" s="93">
        <f>'Basisdaten Reach'!E30</f>
        <v>3449609</v>
      </c>
      <c r="I22" s="93">
        <f>'Basisdaten Reach'!F30</f>
        <v>3131354</v>
      </c>
      <c r="J22" s="93">
        <f>'Basisdaten Reach'!G30</f>
        <v>3007389</v>
      </c>
      <c r="K22" s="93">
        <f>'Basisdaten Reach'!H30</f>
        <v>3349022</v>
      </c>
      <c r="L22" s="93">
        <f>'Basisdaten Reach'!I30</f>
        <v>3680646</v>
      </c>
      <c r="M22" s="93">
        <f>'Basisdaten Reach'!J30</f>
        <v>3079132</v>
      </c>
      <c r="N22" s="93">
        <f>'Basisdaten Reach'!K30</f>
        <v>2731881</v>
      </c>
      <c r="O22" s="93">
        <f>'Basisdaten Reach'!L30</f>
        <v>2869285</v>
      </c>
      <c r="P22" s="93">
        <f>'Basisdaten Reach'!M30</f>
        <v>1736196</v>
      </c>
      <c r="Q22" s="98">
        <f t="shared" si="9"/>
        <v>33090501</v>
      </c>
      <c r="R22" s="93">
        <f>'Basisdaten Reach'!O30</f>
        <v>1797684</v>
      </c>
      <c r="S22" s="93">
        <f>'Basisdaten Reach'!P30</f>
        <v>1666893</v>
      </c>
      <c r="T22" s="93">
        <f>'Basisdaten Reach'!Q30</f>
        <v>481992</v>
      </c>
      <c r="U22" s="93">
        <f>'Basisdaten Reach'!R30</f>
        <v>336821</v>
      </c>
      <c r="V22" s="93">
        <f>'Basisdaten Reach'!S30</f>
        <v>531459</v>
      </c>
      <c r="W22" s="93">
        <f>'Basisdaten Reach'!T30</f>
        <v>253704</v>
      </c>
      <c r="X22" s="93">
        <f>'Basisdaten Reach'!U30</f>
        <v>610155</v>
      </c>
      <c r="Y22" s="93">
        <f>'Basisdaten Reach'!V30</f>
        <v>153922</v>
      </c>
      <c r="Z22" s="93">
        <f>'Basisdaten Reach'!W30</f>
        <v>0</v>
      </c>
      <c r="AA22" s="93">
        <f>'Basisdaten Reach'!X30</f>
        <v>0</v>
      </c>
      <c r="AB22" s="93">
        <f>'Basisdaten Reach'!Y30</f>
        <v>0</v>
      </c>
      <c r="AC22" s="93">
        <f>'Basisdaten Reach'!Z30</f>
        <v>0</v>
      </c>
      <c r="AD22" s="98">
        <f t="shared" si="10"/>
        <v>5832630</v>
      </c>
      <c r="AE22" s="93">
        <f>'Basisdaten Reach'!AB30</f>
        <v>0</v>
      </c>
      <c r="AF22" s="93">
        <f>'Basisdaten Reach'!AC30</f>
        <v>0</v>
      </c>
      <c r="AG22" s="93">
        <f>'Basisdaten Reach'!AD30</f>
        <v>0</v>
      </c>
      <c r="AH22" s="93">
        <f>'Basisdaten Reach'!AE30</f>
        <v>0</v>
      </c>
      <c r="AI22" s="93">
        <f>'Basisdaten Reach'!AF30</f>
        <v>0</v>
      </c>
      <c r="AJ22" s="93">
        <f>'Basisdaten Reach'!AG30</f>
        <v>0</v>
      </c>
      <c r="AK22" s="93">
        <f>'Basisdaten Reach'!AH30</f>
        <v>0</v>
      </c>
      <c r="AL22" s="93">
        <f>'Basisdaten Reach'!AI30</f>
        <v>0</v>
      </c>
      <c r="AM22" s="93">
        <f>'Basisdaten Reach'!AJ30</f>
        <v>0</v>
      </c>
      <c r="AN22" s="93">
        <f>'Basisdaten Reach'!AK30</f>
        <v>0</v>
      </c>
      <c r="AO22" s="93">
        <f>'Basisdaten Reach'!AL30</f>
        <v>0</v>
      </c>
      <c r="AP22" s="93">
        <f>'Basisdaten Reach'!AM30</f>
        <v>0</v>
      </c>
      <c r="AQ22" s="98">
        <f t="shared" si="11"/>
        <v>0</v>
      </c>
    </row>
    <row r="23" spans="1:43">
      <c r="A23" s="35"/>
      <c r="B23" s="67" t="s">
        <v>30</v>
      </c>
      <c r="C23" s="85" t="s">
        <v>15</v>
      </c>
      <c r="D23" s="86" t="s">
        <v>40</v>
      </c>
      <c r="E23" s="93">
        <f>'Basisdaten Reach'!B31</f>
        <v>581557</v>
      </c>
      <c r="F23" s="93">
        <f>'Basisdaten Reach'!C31</f>
        <v>710174</v>
      </c>
      <c r="G23" s="93">
        <f>'Basisdaten Reach'!D31</f>
        <v>812193</v>
      </c>
      <c r="H23" s="93">
        <f>'Basisdaten Reach'!E31</f>
        <v>753838</v>
      </c>
      <c r="I23" s="93">
        <f>'Basisdaten Reach'!F31</f>
        <v>956992</v>
      </c>
      <c r="J23" s="93">
        <f>'Basisdaten Reach'!G31</f>
        <v>1400143</v>
      </c>
      <c r="K23" s="93">
        <f>'Basisdaten Reach'!H31</f>
        <v>1534220</v>
      </c>
      <c r="L23" s="93">
        <f>'Basisdaten Reach'!I31</f>
        <v>1796718</v>
      </c>
      <c r="M23" s="93">
        <f>'Basisdaten Reach'!J31</f>
        <v>1704140</v>
      </c>
      <c r="N23" s="93">
        <f>'Basisdaten Reach'!K31</f>
        <v>1794110</v>
      </c>
      <c r="O23" s="93">
        <f>'Basisdaten Reach'!L31</f>
        <v>1789518</v>
      </c>
      <c r="P23" s="93">
        <f>'Basisdaten Reach'!M31</f>
        <v>2173505</v>
      </c>
      <c r="Q23" s="98">
        <f t="shared" si="9"/>
        <v>16007108</v>
      </c>
      <c r="R23" s="93">
        <f>'Basisdaten Reach'!O31</f>
        <v>3752424</v>
      </c>
      <c r="S23" s="93">
        <f>'Basisdaten Reach'!P31</f>
        <v>2812833</v>
      </c>
      <c r="T23" s="93">
        <f>'Basisdaten Reach'!Q31</f>
        <v>3024910</v>
      </c>
      <c r="U23" s="93">
        <f>'Basisdaten Reach'!R31</f>
        <v>2411195</v>
      </c>
      <c r="V23" s="93">
        <f>'Basisdaten Reach'!S31</f>
        <v>3900628</v>
      </c>
      <c r="W23" s="93">
        <f>'Basisdaten Reach'!T31</f>
        <v>3284231</v>
      </c>
      <c r="X23" s="93">
        <f>'Basisdaten Reach'!U31</f>
        <v>4007601</v>
      </c>
      <c r="Y23" s="93">
        <f>'Basisdaten Reach'!V31</f>
        <v>965745</v>
      </c>
      <c r="Z23" s="93">
        <f>'Basisdaten Reach'!W31</f>
        <v>0</v>
      </c>
      <c r="AA23" s="93">
        <f>'Basisdaten Reach'!X31</f>
        <v>0</v>
      </c>
      <c r="AB23" s="93">
        <f>'Basisdaten Reach'!Y31</f>
        <v>0</v>
      </c>
      <c r="AC23" s="93">
        <f>'Basisdaten Reach'!Z31</f>
        <v>0</v>
      </c>
      <c r="AD23" s="98">
        <f t="shared" si="10"/>
        <v>24159567</v>
      </c>
      <c r="AE23" s="93">
        <f>'Basisdaten Reach'!AB31</f>
        <v>0</v>
      </c>
      <c r="AF23" s="93">
        <f>'Basisdaten Reach'!AC31</f>
        <v>0</v>
      </c>
      <c r="AG23" s="93">
        <f>'Basisdaten Reach'!AD31</f>
        <v>0</v>
      </c>
      <c r="AH23" s="93">
        <f>'Basisdaten Reach'!AE31</f>
        <v>0</v>
      </c>
      <c r="AI23" s="93">
        <f>'Basisdaten Reach'!AF31</f>
        <v>0</v>
      </c>
      <c r="AJ23" s="93">
        <f>'Basisdaten Reach'!AG31</f>
        <v>0</v>
      </c>
      <c r="AK23" s="93">
        <f>'Basisdaten Reach'!AH31</f>
        <v>0</v>
      </c>
      <c r="AL23" s="93">
        <f>'Basisdaten Reach'!AI31</f>
        <v>0</v>
      </c>
      <c r="AM23" s="93">
        <f>'Basisdaten Reach'!AJ31</f>
        <v>0</v>
      </c>
      <c r="AN23" s="93">
        <f>'Basisdaten Reach'!AK31</f>
        <v>0</v>
      </c>
      <c r="AO23" s="93">
        <f>'Basisdaten Reach'!AL31</f>
        <v>0</v>
      </c>
      <c r="AP23" s="93">
        <f>'Basisdaten Reach'!AM31</f>
        <v>0</v>
      </c>
      <c r="AQ23" s="98">
        <f t="shared" si="11"/>
        <v>0</v>
      </c>
    </row>
    <row r="24" spans="1:43">
      <c r="A24" s="35"/>
      <c r="B24" s="67" t="s">
        <v>30</v>
      </c>
      <c r="C24" s="85" t="s">
        <v>109</v>
      </c>
      <c r="D24" s="86" t="s">
        <v>40</v>
      </c>
      <c r="E24" s="93">
        <f>'Basisdaten Reach'!B32</f>
        <v>4102991</v>
      </c>
      <c r="F24" s="93">
        <f>'Basisdaten Reach'!C32</f>
        <v>3916041</v>
      </c>
      <c r="G24" s="93">
        <f>'Basisdaten Reach'!D32</f>
        <v>3583486</v>
      </c>
      <c r="H24" s="93">
        <f>'Basisdaten Reach'!E32</f>
        <v>5055193</v>
      </c>
      <c r="I24" s="93">
        <f>'Basisdaten Reach'!F32</f>
        <v>7308420</v>
      </c>
      <c r="J24" s="93">
        <f>'Basisdaten Reach'!G32</f>
        <v>6572162</v>
      </c>
      <c r="K24" s="93">
        <f>'Basisdaten Reach'!H32</f>
        <v>3286710</v>
      </c>
      <c r="L24" s="93">
        <f>'Basisdaten Reach'!I32</f>
        <v>1712662</v>
      </c>
      <c r="M24" s="93">
        <f>'Basisdaten Reach'!J32</f>
        <v>2729574</v>
      </c>
      <c r="N24" s="93">
        <f>'Basisdaten Reach'!K32</f>
        <v>3785366</v>
      </c>
      <c r="O24" s="93">
        <f>'Basisdaten Reach'!L32</f>
        <v>4744991</v>
      </c>
      <c r="P24" s="93">
        <f>'Basisdaten Reach'!M32</f>
        <v>4790371</v>
      </c>
      <c r="Q24" s="98">
        <f t="shared" si="9"/>
        <v>51587967</v>
      </c>
      <c r="R24" s="93">
        <f>'Basisdaten Reach'!O32</f>
        <v>3664131</v>
      </c>
      <c r="S24" s="93">
        <f>'Basisdaten Reach'!P32</f>
        <v>996155</v>
      </c>
      <c r="T24" s="93">
        <f>'Basisdaten Reach'!Q32</f>
        <v>502914</v>
      </c>
      <c r="U24" s="93">
        <f>'Basisdaten Reach'!R32</f>
        <v>572336</v>
      </c>
      <c r="V24" s="93">
        <f>'Basisdaten Reach'!S32</f>
        <v>955009</v>
      </c>
      <c r="W24" s="93">
        <f>'Basisdaten Reach'!T32</f>
        <v>1077682</v>
      </c>
      <c r="X24" s="93">
        <f>'Basisdaten Reach'!U32</f>
        <v>1794265</v>
      </c>
      <c r="Y24" s="93">
        <f>'Basisdaten Reach'!V32</f>
        <v>272908</v>
      </c>
      <c r="Z24" s="93">
        <f>'Basisdaten Reach'!W32</f>
        <v>0</v>
      </c>
      <c r="AA24" s="93">
        <f>'Basisdaten Reach'!X32</f>
        <v>0</v>
      </c>
      <c r="AB24" s="93">
        <f>'Basisdaten Reach'!Y32</f>
        <v>0</v>
      </c>
      <c r="AC24" s="93">
        <f>'Basisdaten Reach'!Z32</f>
        <v>0</v>
      </c>
      <c r="AD24" s="98">
        <f t="shared" si="10"/>
        <v>9835400</v>
      </c>
      <c r="AE24" s="93">
        <f>'Basisdaten Reach'!AB32</f>
        <v>0</v>
      </c>
      <c r="AF24" s="93">
        <f>'Basisdaten Reach'!AC32</f>
        <v>0</v>
      </c>
      <c r="AG24" s="93">
        <f>'Basisdaten Reach'!AD32</f>
        <v>0</v>
      </c>
      <c r="AH24" s="93">
        <f>'Basisdaten Reach'!AE32</f>
        <v>0</v>
      </c>
      <c r="AI24" s="93">
        <f>'Basisdaten Reach'!AF32</f>
        <v>0</v>
      </c>
      <c r="AJ24" s="93">
        <f>'Basisdaten Reach'!AG32</f>
        <v>0</v>
      </c>
      <c r="AK24" s="93">
        <f>'Basisdaten Reach'!AH32</f>
        <v>0</v>
      </c>
      <c r="AL24" s="93">
        <f>'Basisdaten Reach'!AI32</f>
        <v>0</v>
      </c>
      <c r="AM24" s="93">
        <f>'Basisdaten Reach'!AJ32</f>
        <v>0</v>
      </c>
      <c r="AN24" s="93">
        <f>'Basisdaten Reach'!AK32</f>
        <v>0</v>
      </c>
      <c r="AO24" s="93">
        <f>'Basisdaten Reach'!AL32</f>
        <v>0</v>
      </c>
      <c r="AP24" s="93">
        <f>'Basisdaten Reach'!AM32</f>
        <v>0</v>
      </c>
      <c r="AQ24" s="98">
        <f t="shared" si="11"/>
        <v>0</v>
      </c>
    </row>
    <row r="25" spans="1:43">
      <c r="A25" s="35"/>
      <c r="B25" s="38" t="s">
        <v>3</v>
      </c>
      <c r="C25" s="58" t="s">
        <v>108</v>
      </c>
      <c r="D25" s="33" t="s">
        <v>39</v>
      </c>
      <c r="E25" s="94">
        <f>'Basisdaten Reach'!B6+'Basisdaten Reach'!B7</f>
        <v>0</v>
      </c>
      <c r="F25" s="94">
        <f>'Basisdaten Reach'!C6+'Basisdaten Reach'!C7</f>
        <v>0</v>
      </c>
      <c r="G25" s="94">
        <f>'Basisdaten Reach'!D6+'Basisdaten Reach'!D7</f>
        <v>0</v>
      </c>
      <c r="H25" s="94">
        <f>'Basisdaten Reach'!E6+'Basisdaten Reach'!E7</f>
        <v>0</v>
      </c>
      <c r="I25" s="94">
        <f>'Basisdaten Reach'!F6+'Basisdaten Reach'!F7</f>
        <v>0</v>
      </c>
      <c r="J25" s="94">
        <f>'Basisdaten Reach'!G6+'Basisdaten Reach'!G7</f>
        <v>0</v>
      </c>
      <c r="K25" s="94">
        <f>'Basisdaten Reach'!H6+'Basisdaten Reach'!H7</f>
        <v>0</v>
      </c>
      <c r="L25" s="94">
        <f>'Basisdaten Reach'!I6+'Basisdaten Reach'!I7</f>
        <v>6700689</v>
      </c>
      <c r="M25" s="94">
        <f>'Basisdaten Reach'!J6+'Basisdaten Reach'!J7</f>
        <v>0</v>
      </c>
      <c r="N25" s="94">
        <f>'Basisdaten Reach'!K6+'Basisdaten Reach'!K7</f>
        <v>4794655</v>
      </c>
      <c r="O25" s="94">
        <f>'Basisdaten Reach'!L6+'Basisdaten Reach'!L7</f>
        <v>3835820</v>
      </c>
      <c r="P25" s="94">
        <f>'Basisdaten Reach'!M6+'Basisdaten Reach'!M7</f>
        <v>0</v>
      </c>
      <c r="Q25" s="99">
        <f t="shared" si="9"/>
        <v>15331164</v>
      </c>
      <c r="R25" s="94">
        <f>'Basisdaten Reach'!O6+'Basisdaten Reach'!O7</f>
        <v>0</v>
      </c>
      <c r="S25" s="94">
        <f>'Basisdaten Reach'!P6+'Basisdaten Reach'!P7</f>
        <v>0</v>
      </c>
      <c r="T25" s="94">
        <f>'Basisdaten Reach'!Q6+'Basisdaten Reach'!Q7</f>
        <v>0</v>
      </c>
      <c r="U25" s="94">
        <f>'Basisdaten Reach'!R6+'Basisdaten Reach'!R7</f>
        <v>0</v>
      </c>
      <c r="V25" s="94">
        <f>'Basisdaten Reach'!S6+'Basisdaten Reach'!S7</f>
        <v>0</v>
      </c>
      <c r="W25" s="94">
        <f>'Basisdaten Reach'!T6+'Basisdaten Reach'!T7</f>
        <v>6480189</v>
      </c>
      <c r="X25" s="94">
        <f>'Basisdaten Reach'!U6+'Basisdaten Reach'!U7</f>
        <v>5518350</v>
      </c>
      <c r="Y25" s="94">
        <f>'Basisdaten Reach'!V6+'Basisdaten Reach'!V7</f>
        <v>5943322</v>
      </c>
      <c r="Z25" s="94">
        <f>'Basisdaten Reach'!W6+'Basisdaten Reach'!W7</f>
        <v>6014956</v>
      </c>
      <c r="AA25" s="94">
        <f>'Basisdaten Reach'!X6+'Basisdaten Reach'!X7</f>
        <v>7025570</v>
      </c>
      <c r="AB25" s="94">
        <f>'Basisdaten Reach'!Y6+'Basisdaten Reach'!Y7</f>
        <v>5696904</v>
      </c>
      <c r="AC25" s="94">
        <f>'Basisdaten Reach'!Z6+'Basisdaten Reach'!Z7</f>
        <v>6795925</v>
      </c>
      <c r="AD25" s="99">
        <f t="shared" si="10"/>
        <v>43475216</v>
      </c>
      <c r="AE25" s="94">
        <f>'Basisdaten Reach'!AB6+'Basisdaten Reach'!AB7</f>
        <v>7716961</v>
      </c>
      <c r="AF25" s="94">
        <f>'Basisdaten Reach'!AC6+'Basisdaten Reach'!AC7</f>
        <v>6190458</v>
      </c>
      <c r="AG25" s="94">
        <f>'Basisdaten Reach'!AD6+'Basisdaten Reach'!AD7</f>
        <v>7307938</v>
      </c>
      <c r="AH25" s="94">
        <f>'Basisdaten Reach'!AE6+'Basisdaten Reach'!AE7</f>
        <v>6447622</v>
      </c>
      <c r="AI25" s="94">
        <f>'Basisdaten Reach'!AF6+'Basisdaten Reach'!AF7</f>
        <v>5784416</v>
      </c>
      <c r="AJ25" s="94">
        <f>'Basisdaten Reach'!AG6+'Basisdaten Reach'!AG7</f>
        <v>4717492</v>
      </c>
      <c r="AK25" s="94">
        <f>'Basisdaten Reach'!AH6+'Basisdaten Reach'!AH7</f>
        <v>7869160</v>
      </c>
      <c r="AL25" s="94">
        <f>'Basisdaten Reach'!AI6+'Basisdaten Reach'!AI7</f>
        <v>0</v>
      </c>
      <c r="AM25" s="94">
        <f>'Basisdaten Reach'!AJ6+'Basisdaten Reach'!AJ7</f>
        <v>0</v>
      </c>
      <c r="AN25" s="94">
        <f>'Basisdaten Reach'!AK6+'Basisdaten Reach'!AK7</f>
        <v>0</v>
      </c>
      <c r="AO25" s="94">
        <f>'Basisdaten Reach'!AL6+'Basisdaten Reach'!AL7</f>
        <v>0</v>
      </c>
      <c r="AP25" s="94">
        <f>'Basisdaten Reach'!AM6+'Basisdaten Reach'!AM7</f>
        <v>0</v>
      </c>
      <c r="AQ25" s="99">
        <f t="shared" si="11"/>
        <v>46034047</v>
      </c>
    </row>
    <row r="26" spans="1:43">
      <c r="A26" s="35"/>
      <c r="B26" s="38" t="s">
        <v>3</v>
      </c>
      <c r="C26" s="58" t="s">
        <v>15</v>
      </c>
      <c r="D26" s="33" t="s">
        <v>39</v>
      </c>
      <c r="E26" s="94">
        <f>'Basisdaten Reach'!B8</f>
        <v>0</v>
      </c>
      <c r="F26" s="94">
        <f>'Basisdaten Reach'!C8</f>
        <v>0</v>
      </c>
      <c r="G26" s="94">
        <f>'Basisdaten Reach'!D8</f>
        <v>0</v>
      </c>
      <c r="H26" s="94">
        <f>'Basisdaten Reach'!E8</f>
        <v>0</v>
      </c>
      <c r="I26" s="94">
        <f>'Basisdaten Reach'!F8</f>
        <v>0</v>
      </c>
      <c r="J26" s="94">
        <f>'Basisdaten Reach'!G8</f>
        <v>0</v>
      </c>
      <c r="K26" s="94">
        <f>'Basisdaten Reach'!H8</f>
        <v>2138222</v>
      </c>
      <c r="L26" s="94">
        <f>'Basisdaten Reach'!I8</f>
        <v>14260733</v>
      </c>
      <c r="M26" s="94">
        <f>'Basisdaten Reach'!J8</f>
        <v>25004206</v>
      </c>
      <c r="N26" s="94">
        <f>'Basisdaten Reach'!K8</f>
        <v>11821561</v>
      </c>
      <c r="O26" s="94">
        <f>'Basisdaten Reach'!L8</f>
        <v>17356016</v>
      </c>
      <c r="P26" s="94">
        <f>'Basisdaten Reach'!M8</f>
        <v>17472762</v>
      </c>
      <c r="Q26" s="99">
        <f t="shared" si="9"/>
        <v>88053500</v>
      </c>
      <c r="R26" s="94">
        <f>'Basisdaten Reach'!O8</f>
        <v>19353477</v>
      </c>
      <c r="S26" s="94">
        <f>'Basisdaten Reach'!P8</f>
        <v>18341161</v>
      </c>
      <c r="T26" s="94">
        <f>'Basisdaten Reach'!Q8</f>
        <v>16633723</v>
      </c>
      <c r="U26" s="94">
        <f>'Basisdaten Reach'!R8</f>
        <v>14610023</v>
      </c>
      <c r="V26" s="94">
        <f>'Basisdaten Reach'!S8</f>
        <v>17530866</v>
      </c>
      <c r="W26" s="94">
        <f>'Basisdaten Reach'!T8</f>
        <v>8646376</v>
      </c>
      <c r="X26" s="94">
        <f>'Basisdaten Reach'!U8</f>
        <v>10153750</v>
      </c>
      <c r="Y26" s="94">
        <f>'Basisdaten Reach'!V8</f>
        <v>5531750</v>
      </c>
      <c r="Z26" s="94">
        <f>'Basisdaten Reach'!W8</f>
        <v>6127404</v>
      </c>
      <c r="AA26" s="94">
        <f>'Basisdaten Reach'!X8</f>
        <v>4612800</v>
      </c>
      <c r="AB26" s="94">
        <f>'Basisdaten Reach'!Y8</f>
        <v>1786168</v>
      </c>
      <c r="AC26" s="94">
        <f>'Basisdaten Reach'!Z8</f>
        <v>2162346</v>
      </c>
      <c r="AD26" s="99">
        <f t="shared" si="10"/>
        <v>125489844</v>
      </c>
      <c r="AE26" s="94">
        <f>'Basisdaten Reach'!AB8</f>
        <v>2921757</v>
      </c>
      <c r="AF26" s="94">
        <f>'Basisdaten Reach'!AC8</f>
        <v>4029202</v>
      </c>
      <c r="AG26" s="94">
        <f>'Basisdaten Reach'!AD8</f>
        <v>5685705</v>
      </c>
      <c r="AH26" s="94">
        <f>'Basisdaten Reach'!AE8</f>
        <v>6421367</v>
      </c>
      <c r="AI26" s="94">
        <f>'Basisdaten Reach'!AF8</f>
        <v>17849283</v>
      </c>
      <c r="AJ26" s="94">
        <f>'Basisdaten Reach'!AG8</f>
        <v>21245824</v>
      </c>
      <c r="AK26" s="94">
        <f>'Basisdaten Reach'!AH8</f>
        <v>25350921</v>
      </c>
      <c r="AL26" s="94">
        <f>'Basisdaten Reach'!AI8</f>
        <v>0</v>
      </c>
      <c r="AM26" s="94">
        <f>'Basisdaten Reach'!AJ8</f>
        <v>0</v>
      </c>
      <c r="AN26" s="94">
        <f>'Basisdaten Reach'!AK8</f>
        <v>0</v>
      </c>
      <c r="AO26" s="94">
        <f>'Basisdaten Reach'!AL8</f>
        <v>0</v>
      </c>
      <c r="AP26" s="94">
        <f>'Basisdaten Reach'!AM8</f>
        <v>0</v>
      </c>
      <c r="AQ26" s="99">
        <f t="shared" si="11"/>
        <v>83504059</v>
      </c>
    </row>
    <row r="27" spans="1:43">
      <c r="A27" s="35"/>
      <c r="B27" s="38" t="s">
        <v>3</v>
      </c>
      <c r="C27" s="58" t="s">
        <v>109</v>
      </c>
      <c r="D27" s="33" t="s">
        <v>39</v>
      </c>
      <c r="E27" s="94">
        <f>'Basisdaten Reach'!B9</f>
        <v>0</v>
      </c>
      <c r="F27" s="94">
        <f>'Basisdaten Reach'!C9</f>
        <v>0</v>
      </c>
      <c r="G27" s="94">
        <f>'Basisdaten Reach'!D9</f>
        <v>0</v>
      </c>
      <c r="H27" s="94">
        <f>'Basisdaten Reach'!E9</f>
        <v>0</v>
      </c>
      <c r="I27" s="94">
        <f>'Basisdaten Reach'!F9</f>
        <v>0</v>
      </c>
      <c r="J27" s="94">
        <f>'Basisdaten Reach'!G9</f>
        <v>0</v>
      </c>
      <c r="K27" s="94">
        <f>'Basisdaten Reach'!H9</f>
        <v>0</v>
      </c>
      <c r="L27" s="94">
        <f>'Basisdaten Reach'!I9</f>
        <v>34183</v>
      </c>
      <c r="M27" s="94">
        <f>'Basisdaten Reach'!J9</f>
        <v>467018</v>
      </c>
      <c r="N27" s="94">
        <f>'Basisdaten Reach'!K9</f>
        <v>130422</v>
      </c>
      <c r="O27" s="94">
        <f>'Basisdaten Reach'!L9</f>
        <v>262969</v>
      </c>
      <c r="P27" s="94">
        <f>'Basisdaten Reach'!M9</f>
        <v>231056</v>
      </c>
      <c r="Q27" s="99">
        <f t="shared" si="9"/>
        <v>1125648</v>
      </c>
      <c r="R27" s="94">
        <f>'Basisdaten Reach'!O9</f>
        <v>332919</v>
      </c>
      <c r="S27" s="94">
        <f>'Basisdaten Reach'!P9</f>
        <v>353272</v>
      </c>
      <c r="T27" s="94">
        <f>'Basisdaten Reach'!Q9</f>
        <v>1312363</v>
      </c>
      <c r="U27" s="94">
        <f>'Basisdaten Reach'!R9</f>
        <v>1303882</v>
      </c>
      <c r="V27" s="94">
        <f>'Basisdaten Reach'!S9</f>
        <v>1472297</v>
      </c>
      <c r="W27" s="94">
        <f>'Basisdaten Reach'!T9</f>
        <v>1408447</v>
      </c>
      <c r="X27" s="94">
        <f>'Basisdaten Reach'!U9</f>
        <v>1754898</v>
      </c>
      <c r="Y27" s="94">
        <f>'Basisdaten Reach'!V9</f>
        <v>1679816</v>
      </c>
      <c r="Z27" s="94">
        <f>'Basisdaten Reach'!W9</f>
        <v>1324709</v>
      </c>
      <c r="AA27" s="94">
        <f>'Basisdaten Reach'!X9</f>
        <v>1153099</v>
      </c>
      <c r="AB27" s="94">
        <f>'Basisdaten Reach'!Y9</f>
        <v>990449</v>
      </c>
      <c r="AC27" s="94">
        <f>'Basisdaten Reach'!Z9</f>
        <v>728976</v>
      </c>
      <c r="AD27" s="99">
        <f t="shared" si="10"/>
        <v>13815127</v>
      </c>
      <c r="AE27" s="94">
        <f>'Basisdaten Reach'!AB9</f>
        <v>680646</v>
      </c>
      <c r="AF27" s="94">
        <f>'Basisdaten Reach'!AC9</f>
        <v>136905</v>
      </c>
      <c r="AG27" s="94">
        <f>'Basisdaten Reach'!AD9</f>
        <v>59390</v>
      </c>
      <c r="AH27" s="94">
        <f>'Basisdaten Reach'!AE9</f>
        <v>129389</v>
      </c>
      <c r="AI27" s="94">
        <f>'Basisdaten Reach'!AF9</f>
        <v>112822</v>
      </c>
      <c r="AJ27" s="94">
        <f>'Basisdaten Reach'!AG9</f>
        <v>227159</v>
      </c>
      <c r="AK27" s="94">
        <f>'Basisdaten Reach'!AH9</f>
        <v>226411</v>
      </c>
      <c r="AL27" s="94">
        <f>'Basisdaten Reach'!AI9</f>
        <v>0</v>
      </c>
      <c r="AM27" s="94">
        <f>'Basisdaten Reach'!AJ9</f>
        <v>0</v>
      </c>
      <c r="AN27" s="94">
        <f>'Basisdaten Reach'!AK9</f>
        <v>0</v>
      </c>
      <c r="AO27" s="94">
        <f>'Basisdaten Reach'!AL9</f>
        <v>0</v>
      </c>
      <c r="AP27" s="94">
        <f>'Basisdaten Reach'!AM9</f>
        <v>0</v>
      </c>
      <c r="AQ27" s="99">
        <f t="shared" si="11"/>
        <v>1572722</v>
      </c>
    </row>
    <row r="28" spans="1:43">
      <c r="A28" s="35"/>
      <c r="B28" s="67" t="s">
        <v>1</v>
      </c>
      <c r="C28" s="65" t="s">
        <v>108</v>
      </c>
      <c r="D28" s="86" t="s">
        <v>40</v>
      </c>
      <c r="E28" s="93">
        <f>'Basisdaten Reach'!B17</f>
        <v>2080087</v>
      </c>
      <c r="F28" s="93">
        <f>'Basisdaten Reach'!C17</f>
        <v>2072949</v>
      </c>
      <c r="G28" s="93">
        <f>'Basisdaten Reach'!D17</f>
        <v>2511510</v>
      </c>
      <c r="H28" s="93">
        <f>'Basisdaten Reach'!E17</f>
        <v>2515149</v>
      </c>
      <c r="I28" s="93">
        <f>'Basisdaten Reach'!F17</f>
        <v>3923342</v>
      </c>
      <c r="J28" s="93">
        <f>'Basisdaten Reach'!G17</f>
        <v>3454682</v>
      </c>
      <c r="K28" s="93">
        <f>'Basisdaten Reach'!H17</f>
        <v>3301858</v>
      </c>
      <c r="L28" s="93">
        <f>'Basisdaten Reach'!I17</f>
        <v>2431797</v>
      </c>
      <c r="M28" s="93">
        <f>'Basisdaten Reach'!J17</f>
        <v>2220780</v>
      </c>
      <c r="N28" s="93">
        <f>'Basisdaten Reach'!K17</f>
        <v>1689275</v>
      </c>
      <c r="O28" s="93">
        <f>'Basisdaten Reach'!L17</f>
        <v>1489304</v>
      </c>
      <c r="P28" s="93">
        <f>'Basisdaten Reach'!M17</f>
        <v>2065146</v>
      </c>
      <c r="Q28" s="98">
        <f t="shared" si="9"/>
        <v>29755879</v>
      </c>
      <c r="R28" s="93">
        <f>'Basisdaten Reach'!O17</f>
        <v>946508</v>
      </c>
      <c r="S28" s="93">
        <f>'Basisdaten Reach'!P17</f>
        <v>710491</v>
      </c>
      <c r="T28" s="93">
        <f>'Basisdaten Reach'!Q17</f>
        <v>0</v>
      </c>
      <c r="U28" s="93">
        <f>'Basisdaten Reach'!R17</f>
        <v>779263</v>
      </c>
      <c r="V28" s="93">
        <f>'Basisdaten Reach'!S17</f>
        <v>1234302</v>
      </c>
      <c r="W28" s="93">
        <f>'Basisdaten Reach'!T17</f>
        <v>1767597</v>
      </c>
      <c r="X28" s="93">
        <f>'Basisdaten Reach'!U17</f>
        <v>1174508</v>
      </c>
      <c r="Y28" s="93">
        <f>'Basisdaten Reach'!V17</f>
        <v>1043057</v>
      </c>
      <c r="Z28" s="93">
        <f>'Basisdaten Reach'!W17</f>
        <v>1042366</v>
      </c>
      <c r="AA28" s="93">
        <f>'Basisdaten Reach'!X17</f>
        <v>729939</v>
      </c>
      <c r="AB28" s="93">
        <f>'Basisdaten Reach'!Y17</f>
        <v>813365</v>
      </c>
      <c r="AC28" s="93">
        <f>'Basisdaten Reach'!Z17</f>
        <v>798572</v>
      </c>
      <c r="AD28" s="98">
        <f t="shared" si="10"/>
        <v>11039968</v>
      </c>
      <c r="AE28" s="93">
        <f>'Basisdaten Reach'!AB17</f>
        <v>381438</v>
      </c>
      <c r="AF28" s="93">
        <f>'Basisdaten Reach'!AC17</f>
        <v>316200</v>
      </c>
      <c r="AG28" s="93">
        <f>'Basisdaten Reach'!AD17</f>
        <v>411163</v>
      </c>
      <c r="AH28" s="93">
        <f>'Basisdaten Reach'!AE17</f>
        <v>445750</v>
      </c>
      <c r="AI28" s="93">
        <f>'Basisdaten Reach'!AF17</f>
        <v>1328645</v>
      </c>
      <c r="AJ28" s="93">
        <f>'Basisdaten Reach'!AG17</f>
        <v>2469918</v>
      </c>
      <c r="AK28" s="93">
        <f>'Basisdaten Reach'!AH17</f>
        <v>1691134</v>
      </c>
      <c r="AL28" s="93">
        <f>'Basisdaten Reach'!AI17</f>
        <v>3590639</v>
      </c>
      <c r="AM28" s="93">
        <f>'Basisdaten Reach'!AJ17</f>
        <v>0</v>
      </c>
      <c r="AN28" s="93">
        <f>'Basisdaten Reach'!AK17</f>
        <v>0</v>
      </c>
      <c r="AO28" s="93">
        <f>'Basisdaten Reach'!AL17</f>
        <v>0</v>
      </c>
      <c r="AP28" s="93">
        <f>'Basisdaten Reach'!AM17</f>
        <v>0</v>
      </c>
      <c r="AQ28" s="98">
        <f t="shared" si="11"/>
        <v>10634887</v>
      </c>
    </row>
    <row r="29" spans="1:43">
      <c r="A29" s="35"/>
      <c r="B29" s="67" t="s">
        <v>1</v>
      </c>
      <c r="C29" s="65" t="s">
        <v>15</v>
      </c>
      <c r="D29" s="86" t="s">
        <v>40</v>
      </c>
      <c r="E29" s="93">
        <f>'Basisdaten Reach'!B18</f>
        <v>99999</v>
      </c>
      <c r="F29" s="93">
        <f>'Basisdaten Reach'!C18</f>
        <v>20507</v>
      </c>
      <c r="G29" s="93">
        <f>'Basisdaten Reach'!D18</f>
        <v>31750</v>
      </c>
      <c r="H29" s="93">
        <f>'Basisdaten Reach'!E18</f>
        <v>111708</v>
      </c>
      <c r="I29" s="93">
        <f>'Basisdaten Reach'!F18</f>
        <v>71477</v>
      </c>
      <c r="J29" s="93">
        <f>'Basisdaten Reach'!G18</f>
        <v>0</v>
      </c>
      <c r="K29" s="93">
        <f>'Basisdaten Reach'!H18</f>
        <v>38213</v>
      </c>
      <c r="L29" s="93">
        <f>'Basisdaten Reach'!I18</f>
        <v>6510</v>
      </c>
      <c r="M29" s="93">
        <f>'Basisdaten Reach'!J18</f>
        <v>20548</v>
      </c>
      <c r="N29" s="93">
        <f>'Basisdaten Reach'!K18</f>
        <v>289403</v>
      </c>
      <c r="O29" s="93">
        <f>'Basisdaten Reach'!L18</f>
        <v>154852</v>
      </c>
      <c r="P29" s="93">
        <f>'Basisdaten Reach'!M18</f>
        <v>381648</v>
      </c>
      <c r="Q29" s="98">
        <f t="shared" si="9"/>
        <v>1226615</v>
      </c>
      <c r="R29" s="93">
        <f>'Basisdaten Reach'!O18</f>
        <v>384760</v>
      </c>
      <c r="S29" s="93">
        <f>'Basisdaten Reach'!P18</f>
        <v>120064</v>
      </c>
      <c r="T29" s="93">
        <f>'Basisdaten Reach'!Q18</f>
        <v>0</v>
      </c>
      <c r="U29" s="93">
        <f>'Basisdaten Reach'!R18</f>
        <v>659</v>
      </c>
      <c r="V29" s="93">
        <f>'Basisdaten Reach'!S18</f>
        <v>1879</v>
      </c>
      <c r="W29" s="93">
        <f>'Basisdaten Reach'!T18</f>
        <v>1878</v>
      </c>
      <c r="X29" s="93">
        <f>'Basisdaten Reach'!U18</f>
        <v>24241</v>
      </c>
      <c r="Y29" s="93">
        <f>'Basisdaten Reach'!V18</f>
        <v>12650</v>
      </c>
      <c r="Z29" s="93">
        <f>'Basisdaten Reach'!W18</f>
        <v>13398</v>
      </c>
      <c r="AA29" s="93">
        <f>'Basisdaten Reach'!X18</f>
        <v>32670</v>
      </c>
      <c r="AB29" s="93">
        <f>'Basisdaten Reach'!Y18</f>
        <v>45689</v>
      </c>
      <c r="AC29" s="93">
        <f>'Basisdaten Reach'!Z18</f>
        <v>2660</v>
      </c>
      <c r="AD29" s="98">
        <f t="shared" si="10"/>
        <v>640548</v>
      </c>
      <c r="AE29" s="93">
        <f>'Basisdaten Reach'!AB18</f>
        <v>2579</v>
      </c>
      <c r="AF29" s="93">
        <f>'Basisdaten Reach'!AC18</f>
        <v>3498</v>
      </c>
      <c r="AG29" s="93">
        <f>'Basisdaten Reach'!AD18</f>
        <v>1450</v>
      </c>
      <c r="AH29" s="93">
        <f>'Basisdaten Reach'!AE18</f>
        <v>1248</v>
      </c>
      <c r="AI29" s="93">
        <f>'Basisdaten Reach'!AF18</f>
        <v>35576</v>
      </c>
      <c r="AJ29" s="93">
        <f>'Basisdaten Reach'!AG18</f>
        <v>50682</v>
      </c>
      <c r="AK29" s="93">
        <f>'Basisdaten Reach'!AH18</f>
        <v>26758</v>
      </c>
      <c r="AL29" s="93">
        <f>'Basisdaten Reach'!AI18</f>
        <v>9163</v>
      </c>
      <c r="AM29" s="93">
        <f>'Basisdaten Reach'!AJ18</f>
        <v>0</v>
      </c>
      <c r="AN29" s="93">
        <f>'Basisdaten Reach'!AK18</f>
        <v>0</v>
      </c>
      <c r="AO29" s="93">
        <f>'Basisdaten Reach'!AL18</f>
        <v>0</v>
      </c>
      <c r="AP29" s="93">
        <f>'Basisdaten Reach'!AM18</f>
        <v>0</v>
      </c>
      <c r="AQ29" s="98">
        <f t="shared" si="11"/>
        <v>130954</v>
      </c>
    </row>
    <row r="30" spans="1:43">
      <c r="A30" s="35"/>
      <c r="B30" s="67" t="s">
        <v>1</v>
      </c>
      <c r="C30" s="65" t="s">
        <v>109</v>
      </c>
      <c r="D30" s="86" t="s">
        <v>40</v>
      </c>
      <c r="E30" s="93">
        <f>'Basisdaten Reach'!B19</f>
        <v>344751</v>
      </c>
      <c r="F30" s="93">
        <f>'Basisdaten Reach'!C19</f>
        <v>713617</v>
      </c>
      <c r="G30" s="93">
        <f>'Basisdaten Reach'!D19</f>
        <v>813758</v>
      </c>
      <c r="H30" s="93">
        <f>'Basisdaten Reach'!E19</f>
        <v>1078705</v>
      </c>
      <c r="I30" s="93">
        <f>'Basisdaten Reach'!F19</f>
        <v>1523072</v>
      </c>
      <c r="J30" s="93">
        <f>'Basisdaten Reach'!G19</f>
        <v>1507521</v>
      </c>
      <c r="K30" s="93">
        <f>'Basisdaten Reach'!H19</f>
        <v>853327</v>
      </c>
      <c r="L30" s="93">
        <f>'Basisdaten Reach'!I19</f>
        <v>978104</v>
      </c>
      <c r="M30" s="93">
        <f>'Basisdaten Reach'!J19</f>
        <v>947963</v>
      </c>
      <c r="N30" s="93">
        <f>'Basisdaten Reach'!K19</f>
        <v>644040</v>
      </c>
      <c r="O30" s="93">
        <f>'Basisdaten Reach'!L19</f>
        <v>715271</v>
      </c>
      <c r="P30" s="93">
        <f>'Basisdaten Reach'!M19</f>
        <v>496841</v>
      </c>
      <c r="Q30" s="98">
        <f t="shared" si="9"/>
        <v>10616970</v>
      </c>
      <c r="R30" s="93">
        <f>'Basisdaten Reach'!O19</f>
        <v>401583</v>
      </c>
      <c r="S30" s="93">
        <f>'Basisdaten Reach'!P19</f>
        <v>360398</v>
      </c>
      <c r="T30" s="93">
        <f>'Basisdaten Reach'!Q19</f>
        <v>0</v>
      </c>
      <c r="U30" s="93">
        <f>'Basisdaten Reach'!R19</f>
        <v>58663</v>
      </c>
      <c r="V30" s="93">
        <f>'Basisdaten Reach'!S19</f>
        <v>99248</v>
      </c>
      <c r="W30" s="93">
        <f>'Basisdaten Reach'!T19</f>
        <v>67625</v>
      </c>
      <c r="X30" s="93">
        <f>'Basisdaten Reach'!U19</f>
        <v>19561</v>
      </c>
      <c r="Y30" s="93">
        <f>'Basisdaten Reach'!V19</f>
        <v>118584</v>
      </c>
      <c r="Z30" s="93">
        <f>'Basisdaten Reach'!W19</f>
        <v>123075</v>
      </c>
      <c r="AA30" s="93">
        <f>'Basisdaten Reach'!X19</f>
        <v>141974</v>
      </c>
      <c r="AB30" s="93">
        <f>'Basisdaten Reach'!Y19</f>
        <v>225310</v>
      </c>
      <c r="AC30" s="93">
        <f>'Basisdaten Reach'!Z19</f>
        <v>163309</v>
      </c>
      <c r="AD30" s="98">
        <f t="shared" si="10"/>
        <v>1779330</v>
      </c>
      <c r="AE30" s="93">
        <f>'Basisdaten Reach'!AB19</f>
        <v>192472</v>
      </c>
      <c r="AF30" s="93">
        <f>'Basisdaten Reach'!AC19</f>
        <v>270396</v>
      </c>
      <c r="AG30" s="93">
        <f>'Basisdaten Reach'!AD19</f>
        <v>222684</v>
      </c>
      <c r="AH30" s="93">
        <f>'Basisdaten Reach'!AE19</f>
        <v>105564</v>
      </c>
      <c r="AI30" s="93">
        <f>'Basisdaten Reach'!AF19</f>
        <v>363512</v>
      </c>
      <c r="AJ30" s="93">
        <f>'Basisdaten Reach'!AG19</f>
        <v>749027</v>
      </c>
      <c r="AK30" s="93">
        <f>'Basisdaten Reach'!AH19</f>
        <v>185310</v>
      </c>
      <c r="AL30" s="93">
        <f>'Basisdaten Reach'!AI19</f>
        <v>194398</v>
      </c>
      <c r="AM30" s="93">
        <f>'Basisdaten Reach'!AJ19</f>
        <v>0</v>
      </c>
      <c r="AN30" s="93">
        <f>'Basisdaten Reach'!AK19</f>
        <v>0</v>
      </c>
      <c r="AO30" s="93">
        <f>'Basisdaten Reach'!AL19</f>
        <v>0</v>
      </c>
      <c r="AP30" s="93">
        <f>'Basisdaten Reach'!AM19</f>
        <v>0</v>
      </c>
      <c r="AQ30" s="98">
        <f t="shared" si="11"/>
        <v>2283363</v>
      </c>
    </row>
    <row r="31" spans="1:43">
      <c r="A31" s="35"/>
      <c r="B31" s="37" t="s">
        <v>45</v>
      </c>
      <c r="C31" s="58" t="s">
        <v>108</v>
      </c>
      <c r="D31" s="33" t="s">
        <v>40</v>
      </c>
      <c r="E31" s="94">
        <f>'Basisdaten Reach'!B12+'Basisdaten Reach'!B13</f>
        <v>0</v>
      </c>
      <c r="F31" s="94">
        <f>'Basisdaten Reach'!C12+'Basisdaten Reach'!C13</f>
        <v>0</v>
      </c>
      <c r="G31" s="94">
        <f>'Basisdaten Reach'!D12+'Basisdaten Reach'!D13</f>
        <v>0</v>
      </c>
      <c r="H31" s="94">
        <f>'Basisdaten Reach'!E12+'Basisdaten Reach'!E13</f>
        <v>0</v>
      </c>
      <c r="I31" s="94">
        <f>'Basisdaten Reach'!F12+'Basisdaten Reach'!F13</f>
        <v>0</v>
      </c>
      <c r="J31" s="94">
        <f>'Basisdaten Reach'!G12+'Basisdaten Reach'!G13</f>
        <v>373700</v>
      </c>
      <c r="K31" s="94">
        <f>'Basisdaten Reach'!H12+'Basisdaten Reach'!H13</f>
        <v>1205900</v>
      </c>
      <c r="L31" s="94">
        <f>'Basisdaten Reach'!I12+'Basisdaten Reach'!I13</f>
        <v>2645300</v>
      </c>
      <c r="M31" s="94">
        <f>'Basisdaten Reach'!J12+'Basisdaten Reach'!J13</f>
        <v>3568500</v>
      </c>
      <c r="N31" s="94">
        <f>'Basisdaten Reach'!K12+'Basisdaten Reach'!K13</f>
        <v>2328400</v>
      </c>
      <c r="O31" s="94">
        <f>'Basisdaten Reach'!L12+'Basisdaten Reach'!L13</f>
        <v>1225300</v>
      </c>
      <c r="P31" s="94">
        <f>'Basisdaten Reach'!M12+'Basisdaten Reach'!M13</f>
        <v>1342000</v>
      </c>
      <c r="Q31" s="99">
        <f t="shared" si="9"/>
        <v>12689100</v>
      </c>
      <c r="R31" s="94">
        <f>'Basisdaten Reach'!O12+'Basisdaten Reach'!O13</f>
        <v>2765300</v>
      </c>
      <c r="S31" s="94">
        <f>'Basisdaten Reach'!P12+'Basisdaten Reach'!P13</f>
        <v>2301100</v>
      </c>
      <c r="T31" s="94">
        <f>'Basisdaten Reach'!Q12+'Basisdaten Reach'!Q13</f>
        <v>2717900</v>
      </c>
      <c r="U31" s="94">
        <f>'Basisdaten Reach'!R12+'Basisdaten Reach'!R13</f>
        <v>3002500</v>
      </c>
      <c r="V31" s="94">
        <f>'Basisdaten Reach'!S12+'Basisdaten Reach'!S13</f>
        <v>5540624</v>
      </c>
      <c r="W31" s="94">
        <f>'Basisdaten Reach'!T12+'Basisdaten Reach'!T13</f>
        <v>3543726</v>
      </c>
      <c r="X31" s="94">
        <f>'Basisdaten Reach'!U12+'Basisdaten Reach'!U13</f>
        <v>2368832</v>
      </c>
      <c r="Y31" s="94">
        <f>'Basisdaten Reach'!V12+'Basisdaten Reach'!V13</f>
        <v>2736988</v>
      </c>
      <c r="Z31" s="94">
        <f>'Basisdaten Reach'!W12+'Basisdaten Reach'!W13</f>
        <v>340038</v>
      </c>
      <c r="AA31" s="94">
        <f>'Basisdaten Reach'!X12+'Basisdaten Reach'!X13</f>
        <v>126906</v>
      </c>
      <c r="AB31" s="94">
        <f>'Basisdaten Reach'!Y12+'Basisdaten Reach'!Y13</f>
        <v>381838</v>
      </c>
      <c r="AC31" s="94">
        <f>'Basisdaten Reach'!Z12+'Basisdaten Reach'!Z13</f>
        <v>232987</v>
      </c>
      <c r="AD31" s="99">
        <f t="shared" si="10"/>
        <v>26058739</v>
      </c>
      <c r="AE31" s="94">
        <f>'Basisdaten Reach'!AB12+'Basisdaten Reach'!AB13</f>
        <v>380765</v>
      </c>
      <c r="AF31" s="94">
        <f>'Basisdaten Reach'!AC12+'Basisdaten Reach'!AC13</f>
        <v>20947</v>
      </c>
      <c r="AG31" s="94">
        <f>'Basisdaten Reach'!AD12+'Basisdaten Reach'!AD13</f>
        <v>16846</v>
      </c>
      <c r="AH31" s="94">
        <f>'Basisdaten Reach'!AE12+'Basisdaten Reach'!AE13</f>
        <v>19155</v>
      </c>
      <c r="AI31" s="94">
        <f>'Basisdaten Reach'!AF12+'Basisdaten Reach'!AF13</f>
        <v>24811</v>
      </c>
      <c r="AJ31" s="94">
        <f>'Basisdaten Reach'!AG12+'Basisdaten Reach'!AG13</f>
        <v>15797</v>
      </c>
      <c r="AK31" s="94">
        <f>'Basisdaten Reach'!AH12+'Basisdaten Reach'!AH13</f>
        <v>12178</v>
      </c>
      <c r="AL31" s="94">
        <f>'Basisdaten Reach'!AI12+'Basisdaten Reach'!AI13</f>
        <v>12545</v>
      </c>
      <c r="AM31" s="94">
        <f>'Basisdaten Reach'!AJ12+'Basisdaten Reach'!AJ13</f>
        <v>0</v>
      </c>
      <c r="AN31" s="94">
        <f>'Basisdaten Reach'!AK12+'Basisdaten Reach'!AK13</f>
        <v>0</v>
      </c>
      <c r="AO31" s="94">
        <f>'Basisdaten Reach'!AL12+'Basisdaten Reach'!AL13</f>
        <v>0</v>
      </c>
      <c r="AP31" s="94">
        <f>'Basisdaten Reach'!AM12+'Basisdaten Reach'!AM13</f>
        <v>0</v>
      </c>
      <c r="AQ31" s="99">
        <f t="shared" si="11"/>
        <v>503044</v>
      </c>
    </row>
    <row r="32" spans="1:43">
      <c r="A32" s="35"/>
      <c r="B32" s="37" t="s">
        <v>45</v>
      </c>
      <c r="C32" s="58" t="s">
        <v>15</v>
      </c>
      <c r="D32" s="33" t="s">
        <v>40</v>
      </c>
      <c r="E32" s="94">
        <f>'Basisdaten Reach'!B14</f>
        <v>0</v>
      </c>
      <c r="F32" s="94">
        <f>'Basisdaten Reach'!C14</f>
        <v>0</v>
      </c>
      <c r="G32" s="94">
        <f>'Basisdaten Reach'!D14</f>
        <v>0</v>
      </c>
      <c r="H32" s="94">
        <f>'Basisdaten Reach'!E14</f>
        <v>0</v>
      </c>
      <c r="I32" s="94">
        <f>'Basisdaten Reach'!F14</f>
        <v>199</v>
      </c>
      <c r="J32" s="94">
        <f>'Basisdaten Reach'!G14</f>
        <v>103600</v>
      </c>
      <c r="K32" s="94">
        <f>'Basisdaten Reach'!H14</f>
        <v>142600</v>
      </c>
      <c r="L32" s="94">
        <f>'Basisdaten Reach'!I14</f>
        <v>1500000</v>
      </c>
      <c r="M32" s="94">
        <f>'Basisdaten Reach'!J14</f>
        <v>5100000</v>
      </c>
      <c r="N32" s="94">
        <f>'Basisdaten Reach'!K14</f>
        <v>2300000</v>
      </c>
      <c r="O32" s="94">
        <f>'Basisdaten Reach'!L14</f>
        <v>1900000</v>
      </c>
      <c r="P32" s="94">
        <f>'Basisdaten Reach'!M14</f>
        <v>4000000</v>
      </c>
      <c r="Q32" s="99">
        <f t="shared" si="9"/>
        <v>15046399</v>
      </c>
      <c r="R32" s="94">
        <f>'Basisdaten Reach'!O14</f>
        <v>3200000</v>
      </c>
      <c r="S32" s="94">
        <f>'Basisdaten Reach'!P14</f>
        <v>1300000</v>
      </c>
      <c r="T32" s="94">
        <f>'Basisdaten Reach'!Q14</f>
        <v>1400000</v>
      </c>
      <c r="U32" s="94">
        <f>'Basisdaten Reach'!R14</f>
        <v>1600000</v>
      </c>
      <c r="V32" s="94">
        <f>'Basisdaten Reach'!S14</f>
        <v>2495436</v>
      </c>
      <c r="W32" s="94">
        <f>'Basisdaten Reach'!T14</f>
        <v>2113001</v>
      </c>
      <c r="X32" s="94">
        <f>'Basisdaten Reach'!U14</f>
        <v>3054449</v>
      </c>
      <c r="Y32" s="94">
        <f>'Basisdaten Reach'!V14</f>
        <v>2005900</v>
      </c>
      <c r="Z32" s="94">
        <f>'Basisdaten Reach'!W14</f>
        <v>1137321</v>
      </c>
      <c r="AA32" s="94">
        <f>'Basisdaten Reach'!X14</f>
        <v>922562</v>
      </c>
      <c r="AB32" s="94">
        <f>'Basisdaten Reach'!Y14</f>
        <v>122585</v>
      </c>
      <c r="AC32" s="94">
        <f>'Basisdaten Reach'!Z14</f>
        <v>197532</v>
      </c>
      <c r="AD32" s="99">
        <f t="shared" si="10"/>
        <v>19548786</v>
      </c>
      <c r="AE32" s="94">
        <f>'Basisdaten Reach'!AB14</f>
        <v>292960</v>
      </c>
      <c r="AF32" s="94">
        <f>'Basisdaten Reach'!AC14</f>
        <v>51312</v>
      </c>
      <c r="AG32" s="94">
        <f>'Basisdaten Reach'!AD14</f>
        <v>7938</v>
      </c>
      <c r="AH32" s="94">
        <f>'Basisdaten Reach'!AE14</f>
        <v>7199</v>
      </c>
      <c r="AI32" s="94">
        <f>'Basisdaten Reach'!AF14</f>
        <v>7424</v>
      </c>
      <c r="AJ32" s="94">
        <f>'Basisdaten Reach'!AG14</f>
        <v>8605</v>
      </c>
      <c r="AK32" s="94">
        <f>'Basisdaten Reach'!AH14</f>
        <v>7056</v>
      </c>
      <c r="AL32" s="94">
        <f>'Basisdaten Reach'!AI14</f>
        <v>4826</v>
      </c>
      <c r="AM32" s="94">
        <f>'Basisdaten Reach'!AJ14</f>
        <v>0</v>
      </c>
      <c r="AN32" s="94">
        <f>'Basisdaten Reach'!AK14</f>
        <v>0</v>
      </c>
      <c r="AO32" s="94">
        <f>'Basisdaten Reach'!AL14</f>
        <v>0</v>
      </c>
      <c r="AP32" s="94">
        <f>'Basisdaten Reach'!AM14</f>
        <v>0</v>
      </c>
      <c r="AQ32" s="99">
        <f t="shared" si="11"/>
        <v>387320</v>
      </c>
    </row>
    <row r="33" spans="1:43">
      <c r="A33" s="35"/>
      <c r="B33" s="37" t="s">
        <v>45</v>
      </c>
      <c r="C33" s="58" t="s">
        <v>109</v>
      </c>
      <c r="D33" s="33" t="s">
        <v>40</v>
      </c>
      <c r="E33" s="94">
        <f>'Basisdaten Reach'!B15</f>
        <v>0</v>
      </c>
      <c r="F33" s="94">
        <f>'Basisdaten Reach'!C15</f>
        <v>0</v>
      </c>
      <c r="G33" s="94">
        <f>'Basisdaten Reach'!D15</f>
        <v>0</v>
      </c>
      <c r="H33" s="94">
        <f>'Basisdaten Reach'!E15</f>
        <v>0</v>
      </c>
      <c r="I33" s="94">
        <f>'Basisdaten Reach'!F15</f>
        <v>0</v>
      </c>
      <c r="J33" s="94">
        <f>'Basisdaten Reach'!G15</f>
        <v>127100</v>
      </c>
      <c r="K33" s="94">
        <f>'Basisdaten Reach'!H15</f>
        <v>462300</v>
      </c>
      <c r="L33" s="94">
        <f>'Basisdaten Reach'!I15</f>
        <v>511700</v>
      </c>
      <c r="M33" s="94">
        <f>'Basisdaten Reach'!J15</f>
        <v>683100</v>
      </c>
      <c r="N33" s="94">
        <f>'Basisdaten Reach'!K15</f>
        <v>614800</v>
      </c>
      <c r="O33" s="94">
        <f>'Basisdaten Reach'!L15</f>
        <v>472100</v>
      </c>
      <c r="P33" s="94">
        <f>'Basisdaten Reach'!M15</f>
        <v>639200</v>
      </c>
      <c r="Q33" s="99">
        <f t="shared" si="9"/>
        <v>3510300</v>
      </c>
      <c r="R33" s="94">
        <f>'Basisdaten Reach'!O15</f>
        <v>687800</v>
      </c>
      <c r="S33" s="94">
        <f>'Basisdaten Reach'!P15</f>
        <v>370200</v>
      </c>
      <c r="T33" s="94">
        <f>'Basisdaten Reach'!Q15</f>
        <v>390000</v>
      </c>
      <c r="U33" s="94">
        <f>'Basisdaten Reach'!R15</f>
        <v>362500</v>
      </c>
      <c r="V33" s="94">
        <f>'Basisdaten Reach'!S15</f>
        <v>647548</v>
      </c>
      <c r="W33" s="94">
        <f>'Basisdaten Reach'!T15</f>
        <v>351900</v>
      </c>
      <c r="X33" s="94">
        <f>'Basisdaten Reach'!U15</f>
        <v>594020</v>
      </c>
      <c r="Y33" s="94">
        <f>'Basisdaten Reach'!V15</f>
        <v>616405</v>
      </c>
      <c r="Z33" s="94">
        <f>'Basisdaten Reach'!W15</f>
        <v>334212</v>
      </c>
      <c r="AA33" s="94">
        <f>'Basisdaten Reach'!X15</f>
        <v>191625</v>
      </c>
      <c r="AB33" s="94">
        <f>'Basisdaten Reach'!Y15</f>
        <v>410132</v>
      </c>
      <c r="AC33" s="94">
        <f>'Basisdaten Reach'!Z15</f>
        <v>167998</v>
      </c>
      <c r="AD33" s="99">
        <f t="shared" si="10"/>
        <v>5124340</v>
      </c>
      <c r="AE33" s="94">
        <f>'Basisdaten Reach'!AB15</f>
        <v>7734</v>
      </c>
      <c r="AF33" s="94">
        <f>'Basisdaten Reach'!AC15</f>
        <v>1483</v>
      </c>
      <c r="AG33" s="94">
        <f>'Basisdaten Reach'!AD15</f>
        <v>1410</v>
      </c>
      <c r="AH33" s="94">
        <f>'Basisdaten Reach'!AE15</f>
        <v>1377</v>
      </c>
      <c r="AI33" s="94">
        <f>'Basisdaten Reach'!AF15</f>
        <v>3005</v>
      </c>
      <c r="AJ33" s="94">
        <f>'Basisdaten Reach'!AG15</f>
        <v>2471</v>
      </c>
      <c r="AK33" s="94">
        <f>'Basisdaten Reach'!AH15</f>
        <v>1296</v>
      </c>
      <c r="AL33" s="94">
        <f>'Basisdaten Reach'!AI15</f>
        <v>1016</v>
      </c>
      <c r="AM33" s="94">
        <f>'Basisdaten Reach'!AJ15</f>
        <v>0</v>
      </c>
      <c r="AN33" s="94">
        <f>'Basisdaten Reach'!AK15</f>
        <v>0</v>
      </c>
      <c r="AO33" s="94">
        <f>'Basisdaten Reach'!AL15</f>
        <v>0</v>
      </c>
      <c r="AP33" s="94">
        <f>'Basisdaten Reach'!AM15</f>
        <v>0</v>
      </c>
      <c r="AQ33" s="99">
        <f t="shared" si="11"/>
        <v>19792</v>
      </c>
    </row>
    <row r="34" spans="1:43">
      <c r="A34" s="35"/>
      <c r="B34" s="88" t="s">
        <v>111</v>
      </c>
      <c r="C34" s="65" t="s">
        <v>108</v>
      </c>
      <c r="D34" s="86" t="s">
        <v>39</v>
      </c>
      <c r="E34" s="93">
        <f>'Basisdaten Reach'!B34+'Basisdaten Reach'!B35+'Basisdaten Reach'!B36</f>
        <v>0</v>
      </c>
      <c r="F34" s="93">
        <f>'Basisdaten Reach'!C34+'Basisdaten Reach'!C35</f>
        <v>0</v>
      </c>
      <c r="G34" s="93">
        <f>'Basisdaten Reach'!D34+'Basisdaten Reach'!D35</f>
        <v>0</v>
      </c>
      <c r="H34" s="93">
        <f>'Basisdaten Reach'!E34+'Basisdaten Reach'!E35</f>
        <v>0</v>
      </c>
      <c r="I34" s="93">
        <f>'Basisdaten Reach'!F34+'Basisdaten Reach'!F35</f>
        <v>0</v>
      </c>
      <c r="J34" s="93">
        <f>'Basisdaten Reach'!G34+'Basisdaten Reach'!G35</f>
        <v>0</v>
      </c>
      <c r="K34" s="93">
        <f>'Basisdaten Reach'!H34+'Basisdaten Reach'!H35</f>
        <v>6650000</v>
      </c>
      <c r="L34" s="93">
        <f>'Basisdaten Reach'!I34+'Basisdaten Reach'!I35</f>
        <v>8640000</v>
      </c>
      <c r="M34" s="93">
        <f>'Basisdaten Reach'!J34+'Basisdaten Reach'!J35</f>
        <v>5620000</v>
      </c>
      <c r="N34" s="93">
        <f>'Basisdaten Reach'!K34+'Basisdaten Reach'!K35</f>
        <v>8855000</v>
      </c>
      <c r="O34" s="93">
        <f>'Basisdaten Reach'!L34+'Basisdaten Reach'!L35</f>
        <v>6101000</v>
      </c>
      <c r="P34" s="93">
        <f>'Basisdaten Reach'!M34+'Basisdaten Reach'!M35</f>
        <v>5190000</v>
      </c>
      <c r="Q34" s="98">
        <f t="shared" si="9"/>
        <v>41056000</v>
      </c>
      <c r="R34" s="93">
        <f>'Basisdaten Reach'!O34+'Basisdaten Reach'!O35+'Basisdaten Reach'!O36</f>
        <v>6062000</v>
      </c>
      <c r="S34" s="93">
        <f>'Basisdaten Reach'!P34+'Basisdaten Reach'!P35+'Basisdaten Reach'!P36</f>
        <v>2508030</v>
      </c>
      <c r="T34" s="93">
        <f>'Basisdaten Reach'!Q34+'Basisdaten Reach'!Q35+'Basisdaten Reach'!Q36</f>
        <v>2055000</v>
      </c>
      <c r="U34" s="93">
        <f>'Basisdaten Reach'!R34+'Basisdaten Reach'!R35+'Basisdaten Reach'!R36</f>
        <v>4385000</v>
      </c>
      <c r="V34" s="93">
        <f>'Basisdaten Reach'!S34+'Basisdaten Reach'!S35+'Basisdaten Reach'!S36</f>
        <v>8699000</v>
      </c>
      <c r="W34" s="93">
        <f>'Basisdaten Reach'!T34+'Basisdaten Reach'!T35+'Basisdaten Reach'!T36</f>
        <v>5356000</v>
      </c>
      <c r="X34" s="93">
        <f>'Basisdaten Reach'!U34+'Basisdaten Reach'!U35+'Basisdaten Reach'!U36</f>
        <v>4825000</v>
      </c>
      <c r="Y34" s="93">
        <f>'Basisdaten Reach'!V34+'Basisdaten Reach'!V35+'Basisdaten Reach'!V36</f>
        <v>790700</v>
      </c>
      <c r="Z34" s="93">
        <f>'Basisdaten Reach'!W34+'Basisdaten Reach'!W35+'Basisdaten Reach'!W36</f>
        <v>2769000</v>
      </c>
      <c r="AA34" s="93">
        <f>'Basisdaten Reach'!X34+'Basisdaten Reach'!X35+'Basisdaten Reach'!X36</f>
        <v>1213000</v>
      </c>
      <c r="AB34" s="93">
        <f>'Basisdaten Reach'!Y34+'Basisdaten Reach'!Y35+'Basisdaten Reach'!Y36</f>
        <v>570000</v>
      </c>
      <c r="AC34" s="93">
        <f>'Basisdaten Reach'!Z34+'Basisdaten Reach'!Z35+'Basisdaten Reach'!Z36</f>
        <v>643000</v>
      </c>
      <c r="AD34" s="98">
        <f t="shared" si="10"/>
        <v>39875730</v>
      </c>
      <c r="AE34" s="93">
        <f>'Basisdaten Reach'!AB34+'Basisdaten Reach'!AB35+'Basisdaten Reach'!AB36</f>
        <v>67460</v>
      </c>
      <c r="AF34" s="93">
        <f>'Basisdaten Reach'!AC34+'Basisdaten Reach'!AC35+'Basisdaten Reach'!AC36</f>
        <v>62630</v>
      </c>
      <c r="AG34" s="93">
        <f>'Basisdaten Reach'!AD34+'Basisdaten Reach'!AD35+'Basisdaten Reach'!AD36</f>
        <v>130430</v>
      </c>
      <c r="AH34" s="93">
        <f>'Basisdaten Reach'!AE34+'Basisdaten Reach'!AE35+'Basisdaten Reach'!AE36</f>
        <v>143647</v>
      </c>
      <c r="AI34" s="93">
        <f>'Basisdaten Reach'!AF34+'Basisdaten Reach'!AF35+'Basisdaten Reach'!AF36</f>
        <v>235264</v>
      </c>
      <c r="AJ34" s="93">
        <f>'Basisdaten Reach'!AG34+'Basisdaten Reach'!AG35+'Basisdaten Reach'!AG36</f>
        <v>0</v>
      </c>
      <c r="AK34" s="93">
        <f>'Basisdaten Reach'!AH34+'Basisdaten Reach'!AH35+'Basisdaten Reach'!AH36</f>
        <v>0</v>
      </c>
      <c r="AL34" s="93">
        <f>'Basisdaten Reach'!AI34+'Basisdaten Reach'!AI35+'Basisdaten Reach'!AI36</f>
        <v>0</v>
      </c>
      <c r="AM34" s="93">
        <f>'Basisdaten Reach'!AJ34+'Basisdaten Reach'!AJ35+'Basisdaten Reach'!AJ36</f>
        <v>0</v>
      </c>
      <c r="AN34" s="93">
        <f>'Basisdaten Reach'!AK34+'Basisdaten Reach'!AK35+'Basisdaten Reach'!AK36</f>
        <v>0</v>
      </c>
      <c r="AO34" s="93">
        <f>'Basisdaten Reach'!AL34+'Basisdaten Reach'!AL35+'Basisdaten Reach'!AL36</f>
        <v>0</v>
      </c>
      <c r="AP34" s="93">
        <f>'Basisdaten Reach'!AM34+'Basisdaten Reach'!AM35+'Basisdaten Reach'!AM36</f>
        <v>0</v>
      </c>
      <c r="AQ34" s="98">
        <f t="shared" si="11"/>
        <v>639431</v>
      </c>
    </row>
    <row r="35" spans="1:43">
      <c r="A35" s="35"/>
      <c r="B35" s="88" t="s">
        <v>112</v>
      </c>
      <c r="C35" s="65" t="s">
        <v>15</v>
      </c>
      <c r="D35" s="86" t="s">
        <v>39</v>
      </c>
      <c r="E35" s="93">
        <f>'Basisdaten Reach'!B37</f>
        <v>0</v>
      </c>
      <c r="F35" s="93">
        <f>'Basisdaten Reach'!C37</f>
        <v>0</v>
      </c>
      <c r="G35" s="93">
        <f>'Basisdaten Reach'!D37</f>
        <v>0</v>
      </c>
      <c r="H35" s="93">
        <f>'Basisdaten Reach'!E37</f>
        <v>0</v>
      </c>
      <c r="I35" s="93">
        <f>'Basisdaten Reach'!F37</f>
        <v>0</v>
      </c>
      <c r="J35" s="93">
        <f>'Basisdaten Reach'!G37</f>
        <v>0</v>
      </c>
      <c r="K35" s="93">
        <f>'Basisdaten Reach'!H37</f>
        <v>0</v>
      </c>
      <c r="L35" s="93">
        <f>'Basisdaten Reach'!I37</f>
        <v>0</v>
      </c>
      <c r="M35" s="93">
        <f>'Basisdaten Reach'!J37</f>
        <v>0</v>
      </c>
      <c r="N35" s="93">
        <f>'Basisdaten Reach'!K37</f>
        <v>500</v>
      </c>
      <c r="O35" s="93">
        <f>'Basisdaten Reach'!L37</f>
        <v>67400</v>
      </c>
      <c r="P35" s="93">
        <f>'Basisdaten Reach'!M37</f>
        <v>559000</v>
      </c>
      <c r="Q35" s="98">
        <f t="shared" si="9"/>
        <v>626900</v>
      </c>
      <c r="R35" s="93">
        <f>'Basisdaten Reach'!O37</f>
        <v>1170000</v>
      </c>
      <c r="S35" s="93">
        <f>'Basisdaten Reach'!P37</f>
        <v>386000</v>
      </c>
      <c r="T35" s="93">
        <f>'Basisdaten Reach'!Q37</f>
        <v>197000</v>
      </c>
      <c r="U35" s="93">
        <f>'Basisdaten Reach'!R37</f>
        <v>610000</v>
      </c>
      <c r="V35" s="93">
        <f>'Basisdaten Reach'!S37</f>
        <v>1470000</v>
      </c>
      <c r="W35" s="93">
        <f>'Basisdaten Reach'!T37</f>
        <v>687000</v>
      </c>
      <c r="X35" s="93">
        <f>'Basisdaten Reach'!U37</f>
        <v>488000</v>
      </c>
      <c r="Y35" s="93">
        <f>'Basisdaten Reach'!V37</f>
        <v>320000</v>
      </c>
      <c r="Z35" s="93">
        <f>'Basisdaten Reach'!W37</f>
        <v>317000</v>
      </c>
      <c r="AA35" s="93">
        <f>'Basisdaten Reach'!X37</f>
        <v>227000</v>
      </c>
      <c r="AB35" s="93">
        <f>'Basisdaten Reach'!Y37</f>
        <v>276000</v>
      </c>
      <c r="AC35" s="93">
        <f>'Basisdaten Reach'!Z37</f>
        <v>371000</v>
      </c>
      <c r="AD35" s="98">
        <f t="shared" si="10"/>
        <v>6519000</v>
      </c>
      <c r="AE35" s="93">
        <f>'Basisdaten Reach'!AB37</f>
        <v>47200</v>
      </c>
      <c r="AF35" s="93">
        <f>'Basisdaten Reach'!AC37</f>
        <v>38900</v>
      </c>
      <c r="AG35" s="93">
        <f>'Basisdaten Reach'!AD37</f>
        <v>59000</v>
      </c>
      <c r="AH35" s="93">
        <f>'Basisdaten Reach'!AE37</f>
        <v>78800</v>
      </c>
      <c r="AI35" s="93">
        <f>'Basisdaten Reach'!AF37</f>
        <v>14300</v>
      </c>
      <c r="AJ35" s="93">
        <f>'Basisdaten Reach'!AG37</f>
        <v>0</v>
      </c>
      <c r="AK35" s="93">
        <f>'Basisdaten Reach'!AH37</f>
        <v>0</v>
      </c>
      <c r="AL35" s="93">
        <f>'Basisdaten Reach'!AI37</f>
        <v>0</v>
      </c>
      <c r="AM35" s="93">
        <f>'Basisdaten Reach'!AJ37</f>
        <v>0</v>
      </c>
      <c r="AN35" s="93">
        <f>'Basisdaten Reach'!AK37</f>
        <v>0</v>
      </c>
      <c r="AO35" s="93">
        <f>'Basisdaten Reach'!AL37</f>
        <v>0</v>
      </c>
      <c r="AP35" s="93">
        <f>'Basisdaten Reach'!AM37</f>
        <v>0</v>
      </c>
      <c r="AQ35" s="98">
        <f t="shared" si="11"/>
        <v>238200</v>
      </c>
    </row>
    <row r="36" spans="1:43">
      <c r="A36" s="35"/>
      <c r="B36" s="88" t="s">
        <v>112</v>
      </c>
      <c r="C36" s="65" t="s">
        <v>109</v>
      </c>
      <c r="D36" s="86" t="s">
        <v>39</v>
      </c>
      <c r="E36" s="93">
        <f>'Basisdaten Reach'!B38</f>
        <v>0</v>
      </c>
      <c r="F36" s="93">
        <f>'Basisdaten Reach'!C38</f>
        <v>0</v>
      </c>
      <c r="G36" s="93">
        <f>'Basisdaten Reach'!D38</f>
        <v>0</v>
      </c>
      <c r="H36" s="93">
        <f>'Basisdaten Reach'!E38</f>
        <v>0</v>
      </c>
      <c r="I36" s="93">
        <f>'Basisdaten Reach'!F38</f>
        <v>0</v>
      </c>
      <c r="J36" s="93">
        <f>'Basisdaten Reach'!G38</f>
        <v>0</v>
      </c>
      <c r="K36" s="93">
        <f>'Basisdaten Reach'!H38</f>
        <v>0</v>
      </c>
      <c r="L36" s="93">
        <f>'Basisdaten Reach'!I38</f>
        <v>0</v>
      </c>
      <c r="M36" s="93">
        <f>'Basisdaten Reach'!J38</f>
        <v>0</v>
      </c>
      <c r="N36" s="93">
        <f>'Basisdaten Reach'!K38</f>
        <v>500</v>
      </c>
      <c r="O36" s="93">
        <f>'Basisdaten Reach'!L38</f>
        <v>91800</v>
      </c>
      <c r="P36" s="93">
        <f>'Basisdaten Reach'!M38</f>
        <v>127000</v>
      </c>
      <c r="Q36" s="98">
        <f t="shared" si="9"/>
        <v>219300</v>
      </c>
      <c r="R36" s="93">
        <f>'Basisdaten Reach'!O38</f>
        <v>308000</v>
      </c>
      <c r="S36" s="93">
        <f>'Basisdaten Reach'!P38</f>
        <v>244000</v>
      </c>
      <c r="T36" s="93">
        <f>'Basisdaten Reach'!Q38</f>
        <v>124000</v>
      </c>
      <c r="U36" s="93">
        <f>'Basisdaten Reach'!R38</f>
        <v>640000</v>
      </c>
      <c r="V36" s="93">
        <f>'Basisdaten Reach'!S38</f>
        <v>531000</v>
      </c>
      <c r="W36" s="93">
        <f>'Basisdaten Reach'!T38</f>
        <v>356000</v>
      </c>
      <c r="X36" s="93">
        <f>'Basisdaten Reach'!U38</f>
        <v>242000</v>
      </c>
      <c r="Y36" s="93">
        <f>'Basisdaten Reach'!V38</f>
        <v>458000</v>
      </c>
      <c r="Z36" s="93">
        <f>'Basisdaten Reach'!W38</f>
        <v>503000</v>
      </c>
      <c r="AA36" s="93">
        <f>'Basisdaten Reach'!X38</f>
        <v>116000</v>
      </c>
      <c r="AB36" s="93">
        <f>'Basisdaten Reach'!Y38</f>
        <v>205000</v>
      </c>
      <c r="AC36" s="93">
        <f>'Basisdaten Reach'!Z38</f>
        <v>25800</v>
      </c>
      <c r="AD36" s="98">
        <f t="shared" si="10"/>
        <v>3752800</v>
      </c>
      <c r="AE36" s="93">
        <f>'Basisdaten Reach'!AB38</f>
        <v>357</v>
      </c>
      <c r="AF36" s="93">
        <f>'Basisdaten Reach'!AC38</f>
        <v>244</v>
      </c>
      <c r="AG36" s="93">
        <f>'Basisdaten Reach'!AD38</f>
        <v>336</v>
      </c>
      <c r="AH36" s="93">
        <f>'Basisdaten Reach'!AE38</f>
        <v>162</v>
      </c>
      <c r="AI36" s="93">
        <f>'Basisdaten Reach'!AF38</f>
        <v>60</v>
      </c>
      <c r="AJ36" s="93">
        <f>'Basisdaten Reach'!AG38</f>
        <v>0</v>
      </c>
      <c r="AK36" s="93">
        <f>'Basisdaten Reach'!AH38</f>
        <v>0</v>
      </c>
      <c r="AL36" s="93">
        <f>'Basisdaten Reach'!AI38</f>
        <v>0</v>
      </c>
      <c r="AM36" s="93">
        <f>'Basisdaten Reach'!AJ38</f>
        <v>0</v>
      </c>
      <c r="AN36" s="93">
        <f>'Basisdaten Reach'!AK38</f>
        <v>0</v>
      </c>
      <c r="AO36" s="93">
        <f>'Basisdaten Reach'!AL38</f>
        <v>0</v>
      </c>
      <c r="AP36" s="93">
        <f>'Basisdaten Reach'!AM38</f>
        <v>0</v>
      </c>
      <c r="AQ36" s="98">
        <f t="shared" si="11"/>
        <v>1159</v>
      </c>
    </row>
    <row r="37" spans="1:43">
      <c r="A37" s="35"/>
      <c r="B37" s="33" t="s">
        <v>37</v>
      </c>
      <c r="C37" s="58" t="s">
        <v>108</v>
      </c>
      <c r="D37" s="33" t="s">
        <v>40</v>
      </c>
      <c r="E37" s="94">
        <f>'Basisdaten Reach'!B44</f>
        <v>4152631</v>
      </c>
      <c r="F37" s="94">
        <f>'Basisdaten Reach'!C44</f>
        <v>3696119</v>
      </c>
      <c r="G37" s="94">
        <f>'Basisdaten Reach'!D44</f>
        <v>4517138</v>
      </c>
      <c r="H37" s="94">
        <f>'Basisdaten Reach'!E44</f>
        <v>6198935</v>
      </c>
      <c r="I37" s="94">
        <f>'Basisdaten Reach'!F44</f>
        <v>6095362</v>
      </c>
      <c r="J37" s="94">
        <f>'Basisdaten Reach'!G44</f>
        <v>5350511</v>
      </c>
      <c r="K37" s="94">
        <f>'Basisdaten Reach'!H44</f>
        <v>1604035</v>
      </c>
      <c r="L37" s="94">
        <f>'Basisdaten Reach'!I44</f>
        <v>4918371</v>
      </c>
      <c r="M37" s="94">
        <f>'Basisdaten Reach'!J44</f>
        <v>10188705</v>
      </c>
      <c r="N37" s="94">
        <f>'Basisdaten Reach'!K44</f>
        <v>6023467</v>
      </c>
      <c r="O37" s="94">
        <f>'Basisdaten Reach'!L44</f>
        <v>5993992</v>
      </c>
      <c r="P37" s="94">
        <f>'Basisdaten Reach'!M44</f>
        <v>6420262</v>
      </c>
      <c r="Q37" s="99">
        <f t="shared" si="9"/>
        <v>65159528</v>
      </c>
      <c r="R37" s="94">
        <f>'Basisdaten Reach'!O44</f>
        <v>6870964</v>
      </c>
      <c r="S37" s="94">
        <f>'Basisdaten Reach'!P44</f>
        <v>5639033</v>
      </c>
      <c r="T37" s="94">
        <f>'Basisdaten Reach'!Q44</f>
        <v>6759785</v>
      </c>
      <c r="U37" s="94">
        <f>'Basisdaten Reach'!R44</f>
        <v>6203894</v>
      </c>
      <c r="V37" s="94">
        <f>'Basisdaten Reach'!S44</f>
        <v>5521905</v>
      </c>
      <c r="W37" s="94">
        <f>'Basisdaten Reach'!T44</f>
        <v>3904790</v>
      </c>
      <c r="X37" s="94">
        <f>'Basisdaten Reach'!U44</f>
        <v>2832733</v>
      </c>
      <c r="Y37" s="94">
        <f>'Basisdaten Reach'!V44</f>
        <v>2862708</v>
      </c>
      <c r="Z37" s="94">
        <f>'Basisdaten Reach'!W44</f>
        <v>2440695</v>
      </c>
      <c r="AA37" s="94">
        <f>'Basisdaten Reach'!X44</f>
        <v>2598005</v>
      </c>
      <c r="AB37" s="94">
        <f>'Basisdaten Reach'!Y44</f>
        <v>2315956</v>
      </c>
      <c r="AC37" s="94">
        <f>'Basisdaten Reach'!Z44</f>
        <v>1945333</v>
      </c>
      <c r="AD37" s="99">
        <f t="shared" si="10"/>
        <v>49895801</v>
      </c>
      <c r="AE37" s="94">
        <f>'Basisdaten Reach'!AB44</f>
        <v>2891201</v>
      </c>
      <c r="AF37" s="94">
        <f>'Basisdaten Reach'!AC44</f>
        <v>2300539</v>
      </c>
      <c r="AG37" s="94">
        <f>'Basisdaten Reach'!AD44</f>
        <v>2509330</v>
      </c>
      <c r="AH37" s="94">
        <f>'Basisdaten Reach'!AE44</f>
        <v>2165081</v>
      </c>
      <c r="AI37" s="94">
        <f>'Basisdaten Reach'!AF44</f>
        <v>1867605</v>
      </c>
      <c r="AJ37" s="94">
        <f>'Basisdaten Reach'!AG44</f>
        <v>0</v>
      </c>
      <c r="AK37" s="94">
        <f>'Basisdaten Reach'!AH44</f>
        <v>0</v>
      </c>
      <c r="AL37" s="94">
        <f>'Basisdaten Reach'!AI44</f>
        <v>0</v>
      </c>
      <c r="AM37" s="94">
        <f>'Basisdaten Reach'!AJ44</f>
        <v>0</v>
      </c>
      <c r="AN37" s="94">
        <f>'Basisdaten Reach'!AK44</f>
        <v>0</v>
      </c>
      <c r="AO37" s="94">
        <f>'Basisdaten Reach'!AL44</f>
        <v>0</v>
      </c>
      <c r="AP37" s="94">
        <f>'Basisdaten Reach'!AM44</f>
        <v>0</v>
      </c>
      <c r="AQ37" s="99">
        <f t="shared" si="11"/>
        <v>11733756</v>
      </c>
    </row>
    <row r="38" spans="1:43">
      <c r="A38" s="35"/>
      <c r="B38" s="33" t="s">
        <v>37</v>
      </c>
      <c r="C38" s="58" t="s">
        <v>15</v>
      </c>
      <c r="D38" s="33" t="s">
        <v>40</v>
      </c>
      <c r="E38" s="94">
        <f>'Basisdaten Reach'!B54</f>
        <v>853388</v>
      </c>
      <c r="F38" s="94">
        <f>'Basisdaten Reach'!C54</f>
        <v>1047160</v>
      </c>
      <c r="G38" s="94">
        <f>'Basisdaten Reach'!D54</f>
        <v>627075</v>
      </c>
      <c r="H38" s="94">
        <f>'Basisdaten Reach'!E54</f>
        <v>696084</v>
      </c>
      <c r="I38" s="94">
        <f>'Basisdaten Reach'!F54</f>
        <v>293761</v>
      </c>
      <c r="J38" s="94">
        <f>'Basisdaten Reach'!G54</f>
        <v>609437</v>
      </c>
      <c r="K38" s="94">
        <f>'Basisdaten Reach'!H54</f>
        <v>758637</v>
      </c>
      <c r="L38" s="94">
        <f>'Basisdaten Reach'!I54</f>
        <v>716124</v>
      </c>
      <c r="M38" s="94">
        <f>'Basisdaten Reach'!J54</f>
        <v>2095582</v>
      </c>
      <c r="N38" s="94">
        <f>'Basisdaten Reach'!K54</f>
        <v>491901</v>
      </c>
      <c r="O38" s="94">
        <f>'Basisdaten Reach'!L54</f>
        <v>469978</v>
      </c>
      <c r="P38" s="94">
        <f>'Basisdaten Reach'!M54</f>
        <v>521952</v>
      </c>
      <c r="Q38" s="99">
        <f t="shared" si="9"/>
        <v>9181079</v>
      </c>
      <c r="R38" s="94">
        <f>'Basisdaten Reach'!O54</f>
        <v>408569</v>
      </c>
      <c r="S38" s="94">
        <f>'Basisdaten Reach'!P54</f>
        <v>311924</v>
      </c>
      <c r="T38" s="94">
        <f>'Basisdaten Reach'!Q54</f>
        <v>386037</v>
      </c>
      <c r="U38" s="94">
        <f>'Basisdaten Reach'!R54</f>
        <v>186717</v>
      </c>
      <c r="V38" s="94">
        <f>'Basisdaten Reach'!S54</f>
        <v>155421</v>
      </c>
      <c r="W38" s="94">
        <f>'Basisdaten Reach'!T54</f>
        <v>107030</v>
      </c>
      <c r="X38" s="94">
        <f>'Basisdaten Reach'!U54</f>
        <v>84099</v>
      </c>
      <c r="Y38" s="94">
        <f>'Basisdaten Reach'!V54</f>
        <v>101382</v>
      </c>
      <c r="Z38" s="94">
        <f>'Basisdaten Reach'!W54</f>
        <v>87192</v>
      </c>
      <c r="AA38" s="94">
        <f>'Basisdaten Reach'!X54</f>
        <v>96025</v>
      </c>
      <c r="AB38" s="94">
        <f>'Basisdaten Reach'!Y54</f>
        <v>91793</v>
      </c>
      <c r="AC38" s="94">
        <f>'Basisdaten Reach'!Z54</f>
        <v>72799</v>
      </c>
      <c r="AD38" s="99">
        <f t="shared" si="10"/>
        <v>2088988</v>
      </c>
      <c r="AE38" s="94">
        <f>'Basisdaten Reach'!AB54</f>
        <v>85211</v>
      </c>
      <c r="AF38" s="94">
        <f>'Basisdaten Reach'!AC54</f>
        <v>56045</v>
      </c>
      <c r="AG38" s="94">
        <f>'Basisdaten Reach'!AD54</f>
        <v>49532</v>
      </c>
      <c r="AH38" s="94">
        <f>'Basisdaten Reach'!AE54</f>
        <v>41227</v>
      </c>
      <c r="AI38" s="94">
        <f>'Basisdaten Reach'!AF54</f>
        <v>49040</v>
      </c>
      <c r="AJ38" s="94">
        <f>'Basisdaten Reach'!AG54</f>
        <v>0</v>
      </c>
      <c r="AK38" s="94">
        <f>'Basisdaten Reach'!AH54</f>
        <v>0</v>
      </c>
      <c r="AL38" s="94">
        <f>'Basisdaten Reach'!AI54</f>
        <v>0</v>
      </c>
      <c r="AM38" s="94">
        <f>'Basisdaten Reach'!AJ54</f>
        <v>0</v>
      </c>
      <c r="AN38" s="94">
        <f>'Basisdaten Reach'!AK54</f>
        <v>0</v>
      </c>
      <c r="AO38" s="94">
        <f>'Basisdaten Reach'!AL54</f>
        <v>0</v>
      </c>
      <c r="AP38" s="94">
        <f>'Basisdaten Reach'!AM54</f>
        <v>0</v>
      </c>
      <c r="AQ38" s="99">
        <f t="shared" si="11"/>
        <v>281055</v>
      </c>
    </row>
    <row r="39" spans="1:43">
      <c r="A39" s="35"/>
      <c r="B39" s="33" t="s">
        <v>37</v>
      </c>
      <c r="C39" s="59" t="s">
        <v>109</v>
      </c>
      <c r="D39" s="33" t="s">
        <v>40</v>
      </c>
      <c r="E39" s="94">
        <f>'Basisdaten Reach'!B58</f>
        <v>1631028</v>
      </c>
      <c r="F39" s="94">
        <f>'Basisdaten Reach'!C58</f>
        <v>804554</v>
      </c>
      <c r="G39" s="94">
        <f>'Basisdaten Reach'!D58</f>
        <v>378000</v>
      </c>
      <c r="H39" s="94">
        <f>'Basisdaten Reach'!E58</f>
        <v>605219</v>
      </c>
      <c r="I39" s="94">
        <f>'Basisdaten Reach'!F58</f>
        <v>263222</v>
      </c>
      <c r="J39" s="94">
        <f>'Basisdaten Reach'!G58</f>
        <v>549776</v>
      </c>
      <c r="K39" s="94">
        <f>'Basisdaten Reach'!H58</f>
        <v>797137</v>
      </c>
      <c r="L39" s="94">
        <f>'Basisdaten Reach'!I58</f>
        <v>949951</v>
      </c>
      <c r="M39" s="94">
        <f>'Basisdaten Reach'!J58</f>
        <v>9762010</v>
      </c>
      <c r="N39" s="94">
        <f>'Basisdaten Reach'!K58</f>
        <v>1630981</v>
      </c>
      <c r="O39" s="94">
        <f>'Basisdaten Reach'!L58</f>
        <v>1117823</v>
      </c>
      <c r="P39" s="94">
        <f>'Basisdaten Reach'!M58</f>
        <v>1257608</v>
      </c>
      <c r="Q39" s="99">
        <f t="shared" si="9"/>
        <v>19747309</v>
      </c>
      <c r="R39" s="94">
        <f>'Basisdaten Reach'!O58</f>
        <v>1934267</v>
      </c>
      <c r="S39" s="94">
        <f>'Basisdaten Reach'!P58</f>
        <v>1584129</v>
      </c>
      <c r="T39" s="94">
        <f>'Basisdaten Reach'!Q58</f>
        <v>2140805</v>
      </c>
      <c r="U39" s="94">
        <f>'Basisdaten Reach'!R58</f>
        <v>1252477</v>
      </c>
      <c r="V39" s="94">
        <f>'Basisdaten Reach'!S58</f>
        <v>1719472</v>
      </c>
      <c r="W39" s="94">
        <f>'Basisdaten Reach'!T58</f>
        <v>1292925</v>
      </c>
      <c r="X39" s="94">
        <f>'Basisdaten Reach'!U58</f>
        <v>1511222</v>
      </c>
      <c r="Y39" s="94">
        <f>'Basisdaten Reach'!V58</f>
        <v>1398853</v>
      </c>
      <c r="Z39" s="94">
        <f>'Basisdaten Reach'!W58</f>
        <v>1622744</v>
      </c>
      <c r="AA39" s="94">
        <f>'Basisdaten Reach'!X58</f>
        <v>841349</v>
      </c>
      <c r="AB39" s="94">
        <f>'Basisdaten Reach'!Y58</f>
        <v>643847</v>
      </c>
      <c r="AC39" s="94">
        <f>'Basisdaten Reach'!Z58</f>
        <v>387289</v>
      </c>
      <c r="AD39" s="99">
        <f t="shared" si="10"/>
        <v>16329379</v>
      </c>
      <c r="AE39" s="94">
        <f>'Basisdaten Reach'!AB58</f>
        <v>274407</v>
      </c>
      <c r="AF39" s="94">
        <f>'Basisdaten Reach'!AC58</f>
        <v>439460</v>
      </c>
      <c r="AG39" s="94">
        <f>'Basisdaten Reach'!AD58</f>
        <v>177086</v>
      </c>
      <c r="AH39" s="94">
        <f>'Basisdaten Reach'!AE58</f>
        <v>266570</v>
      </c>
      <c r="AI39" s="94">
        <f>'Basisdaten Reach'!AF58</f>
        <v>313504</v>
      </c>
      <c r="AJ39" s="94">
        <f>'Basisdaten Reach'!AG58</f>
        <v>0</v>
      </c>
      <c r="AK39" s="94">
        <f>'Basisdaten Reach'!AH58</f>
        <v>0</v>
      </c>
      <c r="AL39" s="94">
        <f>'Basisdaten Reach'!AI58</f>
        <v>0</v>
      </c>
      <c r="AM39" s="94">
        <f>'Basisdaten Reach'!AJ58</f>
        <v>0</v>
      </c>
      <c r="AN39" s="94">
        <f>'Basisdaten Reach'!AK58</f>
        <v>0</v>
      </c>
      <c r="AO39" s="94">
        <f>'Basisdaten Reach'!AL58</f>
        <v>0</v>
      </c>
      <c r="AP39" s="94">
        <f>'Basisdaten Reach'!AM58</f>
        <v>0</v>
      </c>
      <c r="AQ39" s="99">
        <f t="shared" si="11"/>
        <v>1471027</v>
      </c>
    </row>
    <row r="40" spans="1:43">
      <c r="A40" s="35"/>
      <c r="B40" s="71"/>
      <c r="C40" s="70"/>
      <c r="D40" s="71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0"/>
    </row>
  </sheetData>
  <autoFilter ref="B7:P39" xr:uid="{4A07C1ED-1F4D-4233-AF21-56B174098428}">
    <sortState xmlns:xlrd2="http://schemas.microsoft.com/office/spreadsheetml/2017/richdata2" ref="B8:P41">
      <sortCondition ref="B7:B17"/>
    </sortState>
  </autoFilter>
  <mergeCells count="1">
    <mergeCell ref="B2:B4"/>
  </mergeCells>
  <conditionalFormatting sqref="B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P40">
    <cfRule type="cellIs" dxfId="35" priority="50" stopIfTrue="1" operator="equal">
      <formula>0</formula>
    </cfRule>
  </conditionalFormatting>
  <conditionalFormatting sqref="L8:P10">
    <cfRule type="cellIs" dxfId="34" priority="82" stopIfTrue="1" operator="equal">
      <formula>0</formula>
    </cfRule>
  </conditionalFormatting>
  <conditionalFormatting sqref="L22:P24">
    <cfRule type="cellIs" dxfId="33" priority="73" stopIfTrue="1" operator="equal">
      <formula>0</formula>
    </cfRule>
  </conditionalFormatting>
  <conditionalFormatting sqref="Q8:AQ39">
    <cfRule type="cellIs" dxfId="32" priority="1" stopIfTrue="1" operator="equal">
      <formula>0</formula>
    </cfRule>
  </conditionalFormatting>
  <conditionalFormatting sqref="Y8:AC10">
    <cfRule type="cellIs" dxfId="31" priority="38" stopIfTrue="1" operator="equal">
      <formula>0</formula>
    </cfRule>
  </conditionalFormatting>
  <conditionalFormatting sqref="Y22:AC24">
    <cfRule type="cellIs" dxfId="30" priority="29" stopIfTrue="1" operator="equal">
      <formula>0</formula>
    </cfRule>
  </conditionalFormatting>
  <conditionalFormatting sqref="AL8:AP10">
    <cfRule type="cellIs" dxfId="29" priority="3" stopIfTrue="1" operator="equal">
      <formula>0</formula>
    </cfRule>
  </conditionalFormatting>
  <conditionalFormatting sqref="AL22:AP24">
    <cfRule type="cellIs" dxfId="28" priority="2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4290-2B99-8845-AF85-DFC2EBFDEE5D}">
  <sheetPr>
    <tabColor theme="8" tint="0.59999389629810485"/>
  </sheetPr>
  <dimension ref="A1:AQ41"/>
  <sheetViews>
    <sheetView showGridLines="0" zoomScale="106" zoomScaleNormal="106" workbookViewId="0">
      <pane xSplit="4" ySplit="7" topLeftCell="X8" activePane="bottomRight" state="frozen"/>
      <selection activeCell="D6" sqref="D6"/>
      <selection pane="topRight" activeCell="D6" sqref="D6"/>
      <selection pane="bottomLeft" activeCell="D6" sqref="D6"/>
      <selection pane="bottomRight" activeCell="AE8" sqref="AE8"/>
    </sheetView>
  </sheetViews>
  <sheetFormatPr baseColWidth="10" defaultColWidth="11.42578125" defaultRowHeight="12.75" outlineLevelCol="1"/>
  <cols>
    <col min="1" max="1" width="1.7109375" style="29" customWidth="1"/>
    <col min="2" max="2" width="18.140625" style="29" bestFit="1" customWidth="1"/>
    <col min="3" max="3" width="11.140625" style="29" customWidth="1"/>
    <col min="4" max="4" width="8.42578125" style="29" customWidth="1"/>
    <col min="5" max="6" width="12.42578125" style="29" customWidth="1" outlineLevel="1"/>
    <col min="7" max="15" width="11.42578125" style="29" customWidth="1" outlineLevel="1"/>
    <col min="16" max="16" width="12.42578125" style="29" customWidth="1" outlineLevel="1"/>
    <col min="17" max="17" width="11.42578125" style="29" bestFit="1" customWidth="1"/>
    <col min="18" max="29" width="11.42578125" style="29" outlineLevel="1"/>
    <col min="30" max="16384" width="11.42578125" style="29"/>
  </cols>
  <sheetData>
    <row r="1" spans="1:43" s="27" customFormat="1">
      <c r="A1" s="26"/>
      <c r="B1" s="28"/>
      <c r="C1" s="28"/>
      <c r="Q1" s="28"/>
    </row>
    <row r="2" spans="1:43" s="27" customFormat="1">
      <c r="A2" s="26"/>
      <c r="B2" s="223" t="s">
        <v>160</v>
      </c>
      <c r="C2" s="120" t="s">
        <v>108</v>
      </c>
      <c r="D2" s="121" t="s">
        <v>156</v>
      </c>
      <c r="E2" s="189">
        <f>' Übersicht Umsätze '!E2/' Übersicht Reichweite all'!E2*1000</f>
        <v>1.6332373078299776</v>
      </c>
      <c r="F2" s="189">
        <f>' Übersicht Umsätze '!F2/' Übersicht Reichweite all'!F2*1000</f>
        <v>1.6456398497586651</v>
      </c>
      <c r="G2" s="189">
        <f>' Übersicht Umsätze '!G2/' Übersicht Reichweite all'!G2*1000</f>
        <v>1.7375896606707941</v>
      </c>
      <c r="H2" s="189">
        <f>' Übersicht Umsätze '!H2/' Übersicht Reichweite all'!H2*1000</f>
        <v>1.6438698456815586</v>
      </c>
      <c r="I2" s="189">
        <f>' Übersicht Umsätze '!I2/' Übersicht Reichweite all'!I2*1000</f>
        <v>1.5991440187876866</v>
      </c>
      <c r="J2" s="189">
        <f>' Übersicht Umsätze '!J2/' Übersicht Reichweite all'!J2*1000</f>
        <v>1.4668360169194068</v>
      </c>
      <c r="K2" s="189">
        <f>' Übersicht Umsätze '!K2/' Übersicht Reichweite all'!K2*1000</f>
        <v>1.3054785220323126</v>
      </c>
      <c r="L2" s="189">
        <f>' Übersicht Umsätze '!L2/' Übersicht Reichweite all'!L2*1000</f>
        <v>0.98598393743814505</v>
      </c>
      <c r="M2" s="189">
        <f>' Übersicht Umsätze '!M2/' Übersicht Reichweite all'!M2*1000</f>
        <v>1.1627745235928257</v>
      </c>
      <c r="N2" s="189">
        <f>' Übersicht Umsätze '!N2/' Übersicht Reichweite all'!N2*1000</f>
        <v>1.1991899883848975</v>
      </c>
      <c r="O2" s="189">
        <f>' Übersicht Umsätze '!O2/' Übersicht Reichweite all'!O2*1000</f>
        <v>1.4689535414372037</v>
      </c>
      <c r="P2" s="189">
        <f>' Übersicht Umsätze '!P2/' Übersicht Reichweite all'!P2*1000</f>
        <v>1.5417162998196634</v>
      </c>
      <c r="Q2" s="190">
        <f>' Übersicht Umsätze '!Q2/' Übersicht Reichweite all'!Q2*1000</f>
        <v>1.4211726170521044</v>
      </c>
      <c r="R2" s="189">
        <f>' Übersicht Umsätze '!R2/' Übersicht Reichweite all'!R2*1000</f>
        <v>0.9546540087758788</v>
      </c>
      <c r="S2" s="189">
        <f>' Übersicht Umsätze '!S2/' Übersicht Reichweite all'!S2*1000</f>
        <v>1.2220348370642198</v>
      </c>
      <c r="T2" s="189">
        <f>' Übersicht Umsätze '!T2/' Übersicht Reichweite all'!T2*1000</f>
        <v>1.2513171464411339</v>
      </c>
      <c r="U2" s="189">
        <f>' Übersicht Umsätze '!U2/' Übersicht Reichweite all'!U2*1000</f>
        <v>1.2204960363000312</v>
      </c>
      <c r="V2" s="189">
        <f>' Übersicht Umsätze '!V2/' Übersicht Reichweite all'!V2*1000</f>
        <v>1.0578340644884996</v>
      </c>
      <c r="W2" s="189">
        <f>' Übersicht Umsätze '!W2/' Übersicht Reichweite all'!W2*1000</f>
        <v>1.046560516717455</v>
      </c>
      <c r="X2" s="189">
        <f>' Übersicht Umsätze '!X2/' Übersicht Reichweite all'!X2*1000</f>
        <v>1.1136478372381029</v>
      </c>
      <c r="Y2" s="189">
        <f>' Übersicht Umsätze '!Y2/' Übersicht Reichweite all'!Y2*1000</f>
        <v>1.2298655339676505</v>
      </c>
      <c r="Z2" s="189">
        <f>' Übersicht Umsätze '!Z2/' Übersicht Reichweite all'!Z2*1000</f>
        <v>1.2710028890082659</v>
      </c>
      <c r="AA2" s="189">
        <f>' Übersicht Umsätze '!AA2/' Übersicht Reichweite all'!AA2*1000</f>
        <v>1.1995204399523238</v>
      </c>
      <c r="AB2" s="189">
        <f>' Übersicht Umsätze '!AB2/' Übersicht Reichweite all'!AB2*1000</f>
        <v>1.3906482942205685</v>
      </c>
      <c r="AC2" s="189">
        <f>' Übersicht Umsätze '!AC2/' Übersicht Reichweite all'!AC2*1000</f>
        <v>1.2929633832004781</v>
      </c>
      <c r="AD2" s="190">
        <f>' Übersicht Umsätze '!AD2/' Übersicht Reichweite all'!AD2*1000</f>
        <v>1.1810497663683328</v>
      </c>
      <c r="AE2" s="189">
        <f>' Übersicht Umsätze '!AE2/' Übersicht Reichweite all'!AE2*1000</f>
        <v>1.0987983890670299</v>
      </c>
      <c r="AF2" s="189">
        <f>' Übersicht Umsätze '!AF2/' Übersicht Reichweite all'!AF2*1000</f>
        <v>1.036559997974527</v>
      </c>
      <c r="AG2" s="189">
        <f>' Übersicht Umsätze '!AG2/' Übersicht Reichweite all'!AG2*1000</f>
        <v>0.97665599031338413</v>
      </c>
      <c r="AH2" s="189">
        <f>' Übersicht Umsätze '!AH2/' Übersicht Reichweite all'!AH2*1000</f>
        <v>1.0831760300533229</v>
      </c>
      <c r="AI2" s="189">
        <f>' Übersicht Umsätze '!AI2/' Übersicht Reichweite all'!AI2*1000</f>
        <v>1.1592030573227972</v>
      </c>
      <c r="AJ2" s="189">
        <f>' Übersicht Umsätze '!AJ2/' Übersicht Reichweite all'!AJ2*1000</f>
        <v>0.92061221559391193</v>
      </c>
      <c r="AK2" s="189">
        <f>' Übersicht Umsätze '!AK2/' Übersicht Reichweite all'!AK2*1000</f>
        <v>0.84457845213755312</v>
      </c>
      <c r="AL2" s="189">
        <f>' Übersicht Umsätze '!AL2/' Übersicht Reichweite all'!AL2*1000</f>
        <v>0.18415815499109436</v>
      </c>
      <c r="AM2" s="189" t="e">
        <f>' Übersicht Umsätze '!AM2/' Übersicht Reichweite all'!AM2*1000</f>
        <v>#DIV/0!</v>
      </c>
      <c r="AN2" s="189" t="e">
        <f>' Übersicht Umsätze '!AN2/' Übersicht Reichweite all'!AN2*1000</f>
        <v>#DIV/0!</v>
      </c>
      <c r="AO2" s="189" t="e">
        <f>' Übersicht Umsätze '!AO2/' Übersicht Reichweite all'!AO2*1000</f>
        <v>#DIV/0!</v>
      </c>
      <c r="AP2" s="189" t="e">
        <f>' Übersicht Umsätze '!AP2/' Übersicht Reichweite all'!AP2*1000</f>
        <v>#DIV/0!</v>
      </c>
      <c r="AQ2" s="190">
        <f>' Übersicht Umsätze '!AQ2/' Übersicht Reichweite all'!AQ2*1000</f>
        <v>0.9471902300388122</v>
      </c>
    </row>
    <row r="3" spans="1:43" s="27" customFormat="1">
      <c r="A3" s="26"/>
      <c r="B3" s="223"/>
      <c r="C3" s="112" t="s">
        <v>15</v>
      </c>
      <c r="D3" s="113" t="s">
        <v>156</v>
      </c>
      <c r="E3" s="191">
        <f>' Übersicht Umsätze '!E3/' Übersicht Reichweite all'!E3*1000</f>
        <v>0.1933294680095847</v>
      </c>
      <c r="F3" s="191">
        <f>' Übersicht Umsätze '!F3/' Übersicht Reichweite all'!F3*1000</f>
        <v>0.2547852349787465</v>
      </c>
      <c r="G3" s="191">
        <f>' Übersicht Umsätze '!G3/' Übersicht Reichweite all'!G3*1000</f>
        <v>0.19295689527593793</v>
      </c>
      <c r="H3" s="191">
        <f>' Übersicht Umsätze '!H3/' Übersicht Reichweite all'!H3*1000</f>
        <v>0.1542353739988106</v>
      </c>
      <c r="I3" s="191">
        <f>' Übersicht Umsätze '!I3/' Übersicht Reichweite all'!I3*1000</f>
        <v>8.8769609448265521E-2</v>
      </c>
      <c r="J3" s="191">
        <f>' Übersicht Umsätze '!J3/' Übersicht Reichweite all'!J3*1000</f>
        <v>0.15623321035108881</v>
      </c>
      <c r="K3" s="191">
        <f>' Übersicht Umsätze '!K3/' Übersicht Reichweite all'!K3*1000</f>
        <v>0.26561259064888237</v>
      </c>
      <c r="L3" s="191">
        <f>' Übersicht Umsätze '!L3/' Übersicht Reichweite all'!L3*1000</f>
        <v>0.16377743885798535</v>
      </c>
      <c r="M3" s="191">
        <f>' Übersicht Umsätze '!M3/' Übersicht Reichweite all'!M3*1000</f>
        <v>0.22836196336842648</v>
      </c>
      <c r="N3" s="191">
        <f>' Übersicht Umsätze '!N3/' Übersicht Reichweite all'!N3*1000</f>
        <v>0.55684148033343162</v>
      </c>
      <c r="O3" s="191">
        <f>' Übersicht Umsätze '!O3/' Übersicht Reichweite all'!O3*1000</f>
        <v>0.84852706281292434</v>
      </c>
      <c r="P3" s="191">
        <f>' Übersicht Umsätze '!P3/' Übersicht Reichweite all'!P3*1000</f>
        <v>0.69275305645498431</v>
      </c>
      <c r="Q3" s="192">
        <f>' Übersicht Umsätze '!Q3/' Übersicht Reichweite all'!Q3*1000</f>
        <v>0.43992724435765379</v>
      </c>
      <c r="R3" s="191">
        <f>' Übersicht Umsätze '!R3/' Übersicht Reichweite all'!R3*1000</f>
        <v>0.31518424885733298</v>
      </c>
      <c r="S3" s="191">
        <f>' Übersicht Umsätze '!S3/' Übersicht Reichweite all'!S3*1000</f>
        <v>0.24368591345079671</v>
      </c>
      <c r="T3" s="191">
        <f>' Übersicht Umsätze '!T3/' Übersicht Reichweite all'!T3*1000</f>
        <v>0.29284588978978998</v>
      </c>
      <c r="U3" s="191">
        <f>' Übersicht Umsätze '!U3/' Übersicht Reichweite all'!U3*1000</f>
        <v>0.22920922662614066</v>
      </c>
      <c r="V3" s="191">
        <f>' Übersicht Umsätze '!V3/' Übersicht Reichweite all'!V3*1000</f>
        <v>0.15451668831513446</v>
      </c>
      <c r="W3" s="191">
        <f>' Übersicht Umsätze '!W3/' Übersicht Reichweite all'!W3*1000</f>
        <v>0.32132341376639251</v>
      </c>
      <c r="X3" s="191">
        <f>' Übersicht Umsätze '!X3/' Übersicht Reichweite all'!X3*1000</f>
        <v>0.26057282144212607</v>
      </c>
      <c r="Y3" s="191">
        <f>' Übersicht Umsätze '!Y3/' Übersicht Reichweite all'!Y3*1000</f>
        <v>0.29988252313098324</v>
      </c>
      <c r="Z3" s="191">
        <f>' Übersicht Umsätze '!Z3/' Übersicht Reichweite all'!Z3*1000</f>
        <v>0.26354640721413092</v>
      </c>
      <c r="AA3" s="191">
        <f>' Übersicht Umsätze '!AA3/' Übersicht Reichweite all'!AA3*1000</f>
        <v>0.31252341595631411</v>
      </c>
      <c r="AB3" s="191">
        <f>' Übersicht Umsätze '!AB3/' Übersicht Reichweite all'!AB3*1000</f>
        <v>0.41465220490977245</v>
      </c>
      <c r="AC3" s="191">
        <f>' Übersicht Umsätze '!AC3/' Übersicht Reichweite all'!AC3*1000</f>
        <v>0.25307576240565782</v>
      </c>
      <c r="AD3" s="192">
        <f>' Übersicht Umsätze '!AD3/' Übersicht Reichweite all'!AD3*1000</f>
        <v>0.26669772825340082</v>
      </c>
      <c r="AE3" s="191">
        <f>' Übersicht Umsätze '!AE3/' Übersicht Reichweite all'!AE3*1000</f>
        <v>0.16095870514729155</v>
      </c>
      <c r="AF3" s="191">
        <f>' Übersicht Umsätze '!AF3/' Übersicht Reichweite all'!AF3*1000</f>
        <v>0.17116869317467115</v>
      </c>
      <c r="AG3" s="191">
        <f>' Übersicht Umsätze '!AG3/' Übersicht Reichweite all'!AG3*1000</f>
        <v>0.14271804776287111</v>
      </c>
      <c r="AH3" s="191">
        <f>' Übersicht Umsätze '!AH3/' Übersicht Reichweite all'!AH3*1000</f>
        <v>0.14555110622227865</v>
      </c>
      <c r="AI3" s="191">
        <f>' Übersicht Umsätze '!AI3/' Übersicht Reichweite all'!AI3*1000</f>
        <v>9.3301141143614916E-2</v>
      </c>
      <c r="AJ3" s="191">
        <f>' Übersicht Umsätze '!AJ3/' Übersicht Reichweite all'!AJ3*1000</f>
        <v>0.10522504566642059</v>
      </c>
      <c r="AK3" s="191">
        <f>' Übersicht Umsätze '!AK3/' Übersicht Reichweite all'!AK3*1000</f>
        <v>4.228471608287588E-2</v>
      </c>
      <c r="AL3" s="191">
        <f>' Übersicht Umsätze '!AL3/' Übersicht Reichweite all'!AL3*1000</f>
        <v>1.0845925796793091E-2</v>
      </c>
      <c r="AM3" s="191" t="e">
        <f>' Übersicht Umsätze '!AM3/' Übersicht Reichweite all'!AM3*1000</f>
        <v>#DIV/0!</v>
      </c>
      <c r="AN3" s="191" t="e">
        <f>' Übersicht Umsätze '!AN3/' Übersicht Reichweite all'!AN3*1000</f>
        <v>#DIV/0!</v>
      </c>
      <c r="AO3" s="191" t="e">
        <f>' Übersicht Umsätze '!AO3/' Übersicht Reichweite all'!AO3*1000</f>
        <v>#DIV/0!</v>
      </c>
      <c r="AP3" s="191" t="e">
        <f>' Übersicht Umsätze '!AP3/' Übersicht Reichweite all'!AP3*1000</f>
        <v>#DIV/0!</v>
      </c>
      <c r="AQ3" s="192">
        <f>' Übersicht Umsätze '!AQ3/' Übersicht Reichweite all'!AQ3*1000</f>
        <v>9.6774300704833657E-2</v>
      </c>
    </row>
    <row r="4" spans="1:43" s="27" customFormat="1">
      <c r="A4"/>
      <c r="B4" s="223"/>
      <c r="C4" s="115" t="s">
        <v>109</v>
      </c>
      <c r="D4" s="83" t="s">
        <v>156</v>
      </c>
      <c r="E4" s="193">
        <f>' Übersicht Umsätze '!E4/' Übersicht Reichweite all'!E4*1000</f>
        <v>0.1483761867697973</v>
      </c>
      <c r="F4" s="193">
        <f>' Übersicht Umsätze '!F4/' Übersicht Reichweite all'!F4*1000</f>
        <v>0.17520545780187546</v>
      </c>
      <c r="G4" s="193">
        <f>' Übersicht Umsätze '!G4/' Übersicht Reichweite all'!G4*1000</f>
        <v>0.15480311682023168</v>
      </c>
      <c r="H4" s="193">
        <f>' Übersicht Umsätze '!H4/' Übersicht Reichweite all'!H4*1000</f>
        <v>0.15832406283186629</v>
      </c>
      <c r="I4" s="193">
        <f>' Übersicht Umsätze '!I4/' Übersicht Reichweite all'!I4*1000</f>
        <v>0.16945677039684834</v>
      </c>
      <c r="J4" s="193">
        <f>' Übersicht Umsätze '!J4/' Übersicht Reichweite all'!J4*1000</f>
        <v>0.19874337659198918</v>
      </c>
      <c r="K4" s="193">
        <f>' Übersicht Umsätze '!K4/' Übersicht Reichweite all'!K4*1000</f>
        <v>0.20513598888721085</v>
      </c>
      <c r="L4" s="193">
        <f>' Übersicht Umsätze '!L4/' Übersicht Reichweite all'!L4*1000</f>
        <v>0.16355662775661825</v>
      </c>
      <c r="M4" s="193">
        <f>' Übersicht Umsätze '!M4/' Übersicht Reichweite all'!M4*1000</f>
        <v>8.0419014093941366E-2</v>
      </c>
      <c r="N4" s="193">
        <f>' Übersicht Umsätze '!N4/' Übersicht Reichweite all'!N4*1000</f>
        <v>0.23731701909276137</v>
      </c>
      <c r="O4" s="193">
        <f>' Übersicht Umsätze '!O4/' Übersicht Reichweite all'!O4*1000</f>
        <v>0.19666577292489024</v>
      </c>
      <c r="P4" s="193">
        <f>' Übersicht Umsätze '!P4/' Übersicht Reichweite all'!P4*1000</f>
        <v>0.15944872828229747</v>
      </c>
      <c r="Q4" s="194">
        <f>' Übersicht Umsätze '!Q4/' Übersicht Reichweite all'!Q4*1000</f>
        <v>0.16326036145134731</v>
      </c>
      <c r="R4" s="193">
        <f>' Übersicht Umsätze '!R4/' Übersicht Reichweite all'!R4*1000</f>
        <v>0.17218701063427141</v>
      </c>
      <c r="S4" s="193">
        <f>' Übersicht Umsätze '!S4/' Übersicht Reichweite all'!S4*1000</f>
        <v>0.25228415550468614</v>
      </c>
      <c r="T4" s="193">
        <f>' Übersicht Umsätze '!T4/' Übersicht Reichweite all'!T4*1000</f>
        <v>0.21051123177692682</v>
      </c>
      <c r="U4" s="193">
        <f>' Übersicht Umsätze '!U4/' Übersicht Reichweite all'!U4*1000</f>
        <v>0.20556021414190528</v>
      </c>
      <c r="V4" s="193">
        <f>' Übersicht Umsätze '!V4/' Übersicht Reichweite all'!V4*1000</f>
        <v>0.18100787033592305</v>
      </c>
      <c r="W4" s="193">
        <f>' Übersicht Umsätze '!W4/' Übersicht Reichweite all'!W4*1000</f>
        <v>0.16855954657750652</v>
      </c>
      <c r="X4" s="193">
        <f>' Übersicht Umsätze '!X4/' Übersicht Reichweite all'!X4*1000</f>
        <v>0.16314159896267844</v>
      </c>
      <c r="Y4" s="193">
        <f>' Übersicht Umsätze '!Y4/' Übersicht Reichweite all'!Y4*1000</f>
        <v>0.21792587304652081</v>
      </c>
      <c r="Z4" s="193">
        <f>' Übersicht Umsätze '!Z4/' Übersicht Reichweite all'!Z4*1000</f>
        <v>0.23658500630514109</v>
      </c>
      <c r="AA4" s="193">
        <f>' Übersicht Umsätze '!AA4/' Übersicht Reichweite all'!AA4*1000</f>
        <v>0.16180098825717215</v>
      </c>
      <c r="AB4" s="193">
        <f>' Übersicht Umsätze '!AB4/' Übersicht Reichweite all'!AB4*1000</f>
        <v>0.19667673026451751</v>
      </c>
      <c r="AC4" s="193">
        <f>' Übersicht Umsätze '!AC4/' Übersicht Reichweite all'!AC4*1000</f>
        <v>0.13166292681662004</v>
      </c>
      <c r="AD4" s="194">
        <f>' Übersicht Umsätze '!AD4/' Übersicht Reichweite all'!AD4*1000</f>
        <v>0.19345165061399675</v>
      </c>
      <c r="AE4" s="193">
        <f>' Übersicht Umsätze '!AE4/' Übersicht Reichweite all'!AE4*1000</f>
        <v>5.2651111958190396E-2</v>
      </c>
      <c r="AF4" s="193">
        <f>' Übersicht Umsätze '!AF4/' Übersicht Reichweite all'!AF4*1000</f>
        <v>0.12446815416067658</v>
      </c>
      <c r="AG4" s="193">
        <f>' Übersicht Umsätze '!AG4/' Übersicht Reichweite all'!AG4*1000</f>
        <v>8.2969340321361856E-2</v>
      </c>
      <c r="AH4" s="193">
        <f>' Übersicht Umsätze '!AH4/' Übersicht Reichweite all'!AH4*1000</f>
        <v>9.185819603730927E-2</v>
      </c>
      <c r="AI4" s="193">
        <f>' Übersicht Umsätze '!AI4/' Übersicht Reichweite all'!AI4*1000</f>
        <v>0.10169144025634433</v>
      </c>
      <c r="AJ4" s="193">
        <f>' Übersicht Umsätze '!AJ4/' Übersicht Reichweite all'!AJ4*1000</f>
        <v>8.7762985958125955E-2</v>
      </c>
      <c r="AK4" s="193">
        <f>' Übersicht Umsätze '!AK4/' Übersicht Reichweite all'!AK4*1000</f>
        <v>5.1481198642264699E-2</v>
      </c>
      <c r="AL4" s="193">
        <f>' Übersicht Umsätze '!AL4/' Übersicht Reichweite all'!AL4*1000</f>
        <v>9.9457918713256807E-2</v>
      </c>
      <c r="AM4" s="193" t="e">
        <f>' Übersicht Umsätze '!AM4/' Übersicht Reichweite all'!AM4*1000</f>
        <v>#DIV/0!</v>
      </c>
      <c r="AN4" s="193" t="e">
        <f>' Übersicht Umsätze '!AN4/' Übersicht Reichweite all'!AN4*1000</f>
        <v>#DIV/0!</v>
      </c>
      <c r="AO4" s="193" t="e">
        <f>' Übersicht Umsätze '!AO4/' Übersicht Reichweite all'!AO4*1000</f>
        <v>#DIV/0!</v>
      </c>
      <c r="AP4" s="193" t="e">
        <f>' Übersicht Umsätze '!AP4/' Übersicht Reichweite all'!AP4*1000</f>
        <v>#DIV/0!</v>
      </c>
      <c r="AQ4" s="194">
        <f>' Übersicht Umsätze '!AQ4/' Übersicht Reichweite all'!AQ4*1000</f>
        <v>8.5399820162686296E-2</v>
      </c>
    </row>
    <row r="5" spans="1:43" s="30" customFormat="1">
      <c r="A5"/>
      <c r="C5" s="116" t="s">
        <v>157</v>
      </c>
      <c r="D5" s="117" t="s">
        <v>156</v>
      </c>
      <c r="E5" s="195">
        <f>' Übersicht Umsätze '!E5/' Übersicht Reichweite all'!E5*1000</f>
        <v>1.3709154417251999</v>
      </c>
      <c r="F5" s="195">
        <f>' Übersicht Umsätze '!F5/' Übersicht Reichweite all'!F5*1000</f>
        <v>1.4322537564000788</v>
      </c>
      <c r="G5" s="195">
        <f>' Übersicht Umsätze '!G5/' Übersicht Reichweite all'!G5*1000</f>
        <v>1.5193532236531604</v>
      </c>
      <c r="H5" s="195">
        <f>' Übersicht Umsätze '!H5/' Übersicht Reichweite all'!H5*1000</f>
        <v>1.3820895914658682</v>
      </c>
      <c r="I5" s="195">
        <f>' Übersicht Umsätze '!I5/' Übersicht Reichweite all'!I5*1000</f>
        <v>1.2510384489344668</v>
      </c>
      <c r="J5" s="195">
        <f>' Übersicht Umsätze '!J5/' Übersicht Reichweite all'!J5*1000</f>
        <v>1.0052288373082585</v>
      </c>
      <c r="K5" s="195">
        <f>' Übersicht Umsätze '!K5/' Übersicht Reichweite all'!K5*1000</f>
        <v>1.0097697356546775</v>
      </c>
      <c r="L5" s="195">
        <f>' Übersicht Umsätze '!L5/' Übersicht Reichweite all'!L5*1000</f>
        <v>0.7219170897556394</v>
      </c>
      <c r="M5" s="195">
        <f>' Übersicht Umsätze '!M5/' Übersicht Reichweite all'!M5*1000</f>
        <v>0.69874375116417453</v>
      </c>
      <c r="N5" s="195">
        <f>' Übersicht Umsätze '!N5/' Übersicht Reichweite all'!N5*1000</f>
        <v>0.97440590508599856</v>
      </c>
      <c r="O5" s="195">
        <f>' Übersicht Umsätze '!O5/' Übersicht Reichweite all'!O5*1000</f>
        <v>1.151962407768031</v>
      </c>
      <c r="P5" s="195">
        <f>' Übersicht Umsätze '!P5/' Übersicht Reichweite all'!P5*1000</f>
        <v>1.0961845886991071</v>
      </c>
      <c r="Q5" s="196">
        <f>' Übersicht Umsätze '!Q5/' Übersicht Reichweite all'!Q5*1000</f>
        <v>1.0732484399708824</v>
      </c>
      <c r="R5" s="195">
        <f>' Übersicht Umsätze '!R5/' Übersicht Reichweite all'!R5*1000</f>
        <v>0.64354437048663671</v>
      </c>
      <c r="S5" s="195">
        <f>' Übersicht Umsätze '!S5/' Übersicht Reichweite all'!S5*1000</f>
        <v>0.7598191653862445</v>
      </c>
      <c r="T5" s="195">
        <f>' Übersicht Umsätze '!T5/' Übersicht Reichweite all'!T5*1000</f>
        <v>0.84772493521947123</v>
      </c>
      <c r="U5" s="195">
        <f>' Übersicht Umsätze '!U5/' Übersicht Reichweite all'!U5*1000</f>
        <v>0.8122642612515818</v>
      </c>
      <c r="V5" s="195">
        <f>' Übersicht Umsätze '!V5/' Übersicht Reichweite all'!V5*1000</f>
        <v>0.70405485655902711</v>
      </c>
      <c r="W5" s="195">
        <f>' Übersicht Umsätze '!W5/' Übersicht Reichweite all'!W5*1000</f>
        <v>0.79351190754339274</v>
      </c>
      <c r="X5" s="195">
        <f>' Übersicht Umsätze '!X5/' Übersicht Reichweite all'!X5*1000</f>
        <v>0.78862055118245944</v>
      </c>
      <c r="Y5" s="195">
        <f>' Übersicht Umsätze '!Y5/' Übersicht Reichweite all'!Y5*1000</f>
        <v>0.95347876012917687</v>
      </c>
      <c r="Z5" s="195">
        <f>' Übersicht Umsätze '!Z5/' Übersicht Reichweite all'!Z5*1000</f>
        <v>1.0047944062896179</v>
      </c>
      <c r="AA5" s="195">
        <f>' Übersicht Umsätze '!AA5/' Übersicht Reichweite all'!AA5*1000</f>
        <v>1.0254200396785469</v>
      </c>
      <c r="AB5" s="195">
        <f>' Übersicht Umsätze '!AB5/' Übersicht Reichweite all'!AB5*1000</f>
        <v>1.2800733537601274</v>
      </c>
      <c r="AC5" s="195">
        <f>' Übersicht Umsätze '!AC5/' Übersicht Reichweite all'!AC5*1000</f>
        <v>1.1970732061721236</v>
      </c>
      <c r="AD5" s="196">
        <f>' Übersicht Umsätze '!AD5/' Übersicht Reichweite all'!AD5*1000</f>
        <v>0.86038586507393011</v>
      </c>
      <c r="AE5" s="195">
        <f>' Übersicht Umsätze '!AE5/' Übersicht Reichweite all'!AE5*1000</f>
        <v>1.0216277139013443</v>
      </c>
      <c r="AF5" s="195">
        <f>' Übersicht Umsätze '!AF5/' Übersicht Reichweite all'!AF5*1000</f>
        <v>0.96472674288180515</v>
      </c>
      <c r="AG5" s="195">
        <f>' Übersicht Umsätze '!AG5/' Übersicht Reichweite all'!AG5*1000</f>
        <v>0.90880152544857562</v>
      </c>
      <c r="AH5" s="195">
        <f>' Übersicht Umsätze '!AH5/' Übersicht Reichweite all'!AH5*1000</f>
        <v>0.97911722336607521</v>
      </c>
      <c r="AI5" s="195">
        <f>' Übersicht Umsätze '!AI5/' Übersicht Reichweite all'!AI5*1000</f>
        <v>0.83210766418209525</v>
      </c>
      <c r="AJ5" s="195">
        <f>' Übersicht Umsätze '!AJ5/' Übersicht Reichweite all'!AJ5*1000</f>
        <v>0.64929751556626025</v>
      </c>
      <c r="AK5" s="195">
        <f>' Übersicht Umsätze '!AK5/' Übersicht Reichweite all'!AK5*1000</f>
        <v>0.59095577754539064</v>
      </c>
      <c r="AL5" s="195">
        <f>' Übersicht Umsätze '!AL5/' Übersicht Reichweite all'!AL5*1000</f>
        <v>0.17907360255278096</v>
      </c>
      <c r="AM5" s="195" t="e">
        <f>' Übersicht Umsätze '!AM5/' Übersicht Reichweite all'!AM5*1000</f>
        <v>#DIV/0!</v>
      </c>
      <c r="AN5" s="195" t="e">
        <f>' Übersicht Umsätze '!AN5/' Übersicht Reichweite all'!AN5*1000</f>
        <v>#DIV/0!</v>
      </c>
      <c r="AO5" s="195" t="e">
        <f>' Übersicht Umsätze '!AO5/' Übersicht Reichweite all'!AO5*1000</f>
        <v>#DIV/0!</v>
      </c>
      <c r="AP5" s="195" t="e">
        <f>' Übersicht Umsätze '!AP5/' Übersicht Reichweite all'!AP5*1000</f>
        <v>#DIV/0!</v>
      </c>
      <c r="AQ5" s="196">
        <f>' Übersicht Umsätze '!AQ5/' Übersicht Reichweite all'!AQ5*1000</f>
        <v>0.78132977275909199</v>
      </c>
    </row>
    <row r="6" spans="1:43" s="30" customFormat="1" ht="18" customHeight="1">
      <c r="A6"/>
      <c r="C6" s="80"/>
      <c r="D6" s="81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9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9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92"/>
    </row>
    <row r="7" spans="1:43" ht="25.5">
      <c r="A7"/>
      <c r="B7" s="132" t="s">
        <v>7</v>
      </c>
      <c r="C7" s="31" t="s">
        <v>81</v>
      </c>
      <c r="D7" s="31" t="s">
        <v>34</v>
      </c>
      <c r="E7" s="131">
        <v>44562</v>
      </c>
      <c r="F7" s="131">
        <v>44593</v>
      </c>
      <c r="G7" s="131">
        <v>44621</v>
      </c>
      <c r="H7" s="131">
        <v>44652</v>
      </c>
      <c r="I7" s="131">
        <v>44682</v>
      </c>
      <c r="J7" s="131">
        <v>44713</v>
      </c>
      <c r="K7" s="131">
        <v>44743</v>
      </c>
      <c r="L7" s="131">
        <v>44774</v>
      </c>
      <c r="M7" s="131">
        <v>44805</v>
      </c>
      <c r="N7" s="131">
        <v>44835</v>
      </c>
      <c r="O7" s="131">
        <v>44866</v>
      </c>
      <c r="P7" s="131">
        <v>44896</v>
      </c>
      <c r="Q7" s="91">
        <v>2022</v>
      </c>
      <c r="R7" s="131">
        <v>44927</v>
      </c>
      <c r="S7" s="131">
        <v>44958</v>
      </c>
      <c r="T7" s="131">
        <v>44986</v>
      </c>
      <c r="U7" s="131">
        <v>45017</v>
      </c>
      <c r="V7" s="131">
        <v>45047</v>
      </c>
      <c r="W7" s="131">
        <v>45078</v>
      </c>
      <c r="X7" s="131">
        <v>45108</v>
      </c>
      <c r="Y7" s="131">
        <v>45139</v>
      </c>
      <c r="Z7" s="131">
        <v>45170</v>
      </c>
      <c r="AA7" s="131">
        <v>45200</v>
      </c>
      <c r="AB7" s="131">
        <v>45231</v>
      </c>
      <c r="AC7" s="131">
        <v>45261</v>
      </c>
      <c r="AD7" s="91">
        <v>2023</v>
      </c>
      <c r="AE7" s="131">
        <v>45292</v>
      </c>
      <c r="AF7" s="131">
        <v>45323</v>
      </c>
      <c r="AG7" s="131">
        <v>45352</v>
      </c>
      <c r="AH7" s="131">
        <v>45383</v>
      </c>
      <c r="AI7" s="131">
        <v>45413</v>
      </c>
      <c r="AJ7" s="131">
        <v>45444</v>
      </c>
      <c r="AK7" s="131">
        <v>45474</v>
      </c>
      <c r="AL7" s="131">
        <v>45505</v>
      </c>
      <c r="AM7" s="131">
        <v>45536</v>
      </c>
      <c r="AN7" s="131">
        <v>45566</v>
      </c>
      <c r="AO7" s="131">
        <v>45597</v>
      </c>
      <c r="AP7" s="131">
        <v>45627</v>
      </c>
      <c r="AQ7" s="91">
        <v>2024</v>
      </c>
    </row>
    <row r="8" spans="1:43">
      <c r="A8" s="35"/>
      <c r="B8" s="33" t="s">
        <v>38</v>
      </c>
      <c r="C8" s="58" t="s">
        <v>108</v>
      </c>
      <c r="D8" s="33" t="s">
        <v>39</v>
      </c>
      <c r="E8" s="186">
        <f>' Übersicht Umsätze '!E8/' Übersicht Reichweite all'!E8*1000</f>
        <v>2.3012166097487117</v>
      </c>
      <c r="F8" s="186">
        <f>' Übersicht Umsätze '!F8/' Übersicht Reichweite all'!F8*1000</f>
        <v>3.2817911004119749</v>
      </c>
      <c r="G8" s="186">
        <f>' Übersicht Umsätze '!G8/' Übersicht Reichweite all'!G8*1000</f>
        <v>3.4536229842957904</v>
      </c>
      <c r="H8" s="186">
        <f>' Übersicht Umsätze '!H8/' Übersicht Reichweite all'!H8*1000</f>
        <v>3.544211258732711</v>
      </c>
      <c r="I8" s="186">
        <f>' Übersicht Umsätze '!I8/' Übersicht Reichweite all'!I8*1000</f>
        <v>3.5216049890383085</v>
      </c>
      <c r="J8" s="186">
        <f>' Übersicht Umsätze '!J8/' Übersicht Reichweite all'!J8*1000</f>
        <v>2.4869243913228263</v>
      </c>
      <c r="K8" s="186">
        <f>' Übersicht Umsätze '!K8/' Übersicht Reichweite all'!K8*1000</f>
        <v>1.8759334409461883</v>
      </c>
      <c r="L8" s="186">
        <f>' Übersicht Umsätze '!L8/' Übersicht Reichweite all'!L8*1000</f>
        <v>2.2396703980099506</v>
      </c>
      <c r="M8" s="186">
        <f>' Übersicht Umsätze '!M8/' Übersicht Reichweite all'!M8*1000</f>
        <v>1.7820890334155641</v>
      </c>
      <c r="N8" s="186">
        <f>' Übersicht Umsätze '!N8/' Übersicht Reichweite all'!N8*1000</f>
        <v>2.1600803849087602</v>
      </c>
      <c r="O8" s="186">
        <f>' Übersicht Umsätze '!O8/' Übersicht Reichweite all'!O8*1000</f>
        <v>2.8314826795271428</v>
      </c>
      <c r="P8" s="186">
        <f>' Übersicht Umsätze '!P8/' Übersicht Reichweite all'!P8*1000</f>
        <v>2.1216459064969273</v>
      </c>
      <c r="Q8" s="197">
        <f>' Übersicht Umsätze '!Q8/' Übersicht Reichweite all'!Q8*1000</f>
        <v>2.836901238837509</v>
      </c>
      <c r="R8" s="186">
        <f>' Übersicht Umsätze '!R8/' Übersicht Reichweite all'!R8*1000</f>
        <v>1.7078827997386588</v>
      </c>
      <c r="S8" s="186">
        <f>' Übersicht Umsätze '!S8/' Übersicht Reichweite all'!S8*1000</f>
        <v>3.1420167950323825</v>
      </c>
      <c r="T8" s="186">
        <f>' Übersicht Umsätze '!T8/' Übersicht Reichweite all'!T8*1000</f>
        <v>4.6399777880687525</v>
      </c>
      <c r="U8" s="186">
        <f>' Übersicht Umsätze '!U8/' Übersicht Reichweite all'!U8*1000</f>
        <v>4.8283093058024127</v>
      </c>
      <c r="V8" s="186">
        <f>' Übersicht Umsätze '!V8/' Übersicht Reichweite all'!V8*1000</f>
        <v>3.0328718624779176</v>
      </c>
      <c r="W8" s="186">
        <f>' Übersicht Umsätze '!W8/' Übersicht Reichweite all'!W8*1000</f>
        <v>3.6318393685612582</v>
      </c>
      <c r="X8" s="186" t="e">
        <f>' Übersicht Umsätze '!X8/' Übersicht Reichweite all'!X8*1000</f>
        <v>#DIV/0!</v>
      </c>
      <c r="Y8" s="186" t="e">
        <f>' Übersicht Umsätze '!Y8/' Übersicht Reichweite all'!Y8*1000</f>
        <v>#DIV/0!</v>
      </c>
      <c r="Z8" s="186">
        <f>' Übersicht Umsätze '!Z8/' Übersicht Reichweite all'!Z8*1000</f>
        <v>6.5090318479564928</v>
      </c>
      <c r="AA8" s="186">
        <f>' Übersicht Umsätze '!AA8/' Übersicht Reichweite all'!AA8*1000</f>
        <v>12.910052684283544</v>
      </c>
      <c r="AB8" s="186">
        <f>' Übersicht Umsätze '!AB8/' Übersicht Reichweite all'!AB8*1000</f>
        <v>9.7694950293896152</v>
      </c>
      <c r="AC8" s="186">
        <f>' Übersicht Umsätze '!AC8/' Übersicht Reichweite all'!AC8*1000</f>
        <v>9.3190410915630544</v>
      </c>
      <c r="AD8" s="197">
        <f>' Übersicht Umsätze '!AD8/' Übersicht Reichweite all'!AD8*1000</f>
        <v>5.2184444407181436</v>
      </c>
      <c r="AE8" s="186">
        <f>' Übersicht Umsätze '!AE8/' Übersicht Reichweite all'!AE8*1000</f>
        <v>23.915978642203555</v>
      </c>
      <c r="AF8" s="186">
        <f>' Übersicht Umsätze '!AF8/' Übersicht Reichweite all'!AF8*1000</f>
        <v>21.188534994851086</v>
      </c>
      <c r="AG8" s="186">
        <f>' Übersicht Umsätze '!AG8/' Übersicht Reichweite all'!AG8*1000</f>
        <v>37.939618137273882</v>
      </c>
      <c r="AH8" s="186">
        <f>' Übersicht Umsätze '!AH8/' Übersicht Reichweite all'!AH8*1000</f>
        <v>33.194106772907986</v>
      </c>
      <c r="AI8" s="186">
        <f>' Übersicht Umsätze '!AI8/' Übersicht Reichweite all'!AI8*1000</f>
        <v>30.45725786985059</v>
      </c>
      <c r="AJ8" s="186">
        <f>' Übersicht Umsätze '!AJ8/' Übersicht Reichweite all'!AJ8*1000</f>
        <v>0.2732863978671336</v>
      </c>
      <c r="AK8" s="186">
        <f>' Übersicht Umsätze '!AK8/' Übersicht Reichweite all'!AK8*1000</f>
        <v>3.9155743762689106E-2</v>
      </c>
      <c r="AL8" s="186">
        <f>' Übersicht Umsätze '!AL8/' Übersicht Reichweite all'!AL8*1000</f>
        <v>0.14963770734704201</v>
      </c>
      <c r="AM8" s="186" t="e">
        <f>' Übersicht Umsätze '!AM8/' Übersicht Reichweite all'!AM8*1000</f>
        <v>#DIV/0!</v>
      </c>
      <c r="AN8" s="186" t="e">
        <f>' Übersicht Umsätze '!AN8/' Übersicht Reichweite all'!AN8*1000</f>
        <v>#DIV/0!</v>
      </c>
      <c r="AO8" s="186" t="e">
        <f>' Übersicht Umsätze '!AO8/' Übersicht Reichweite all'!AO8*1000</f>
        <v>#DIV/0!</v>
      </c>
      <c r="AP8" s="186" t="e">
        <f>' Übersicht Umsätze '!AP8/' Übersicht Reichweite all'!AP8*1000</f>
        <v>#DIV/0!</v>
      </c>
      <c r="AQ8" s="197">
        <f>' Übersicht Umsätze '!AQ8/' Übersicht Reichweite all'!AQ8*1000</f>
        <v>24.464157758243431</v>
      </c>
    </row>
    <row r="9" spans="1:43">
      <c r="A9" s="35"/>
      <c r="B9" s="33" t="s">
        <v>38</v>
      </c>
      <c r="C9" s="59" t="s">
        <v>15</v>
      </c>
      <c r="D9" s="33" t="s">
        <v>39</v>
      </c>
      <c r="E9" s="186">
        <f>' Übersicht Umsätze '!E9/' Übersicht Reichweite all'!E9*1000</f>
        <v>0.18095570462858843</v>
      </c>
      <c r="F9" s="186">
        <f>' Übersicht Umsätze '!F9/' Übersicht Reichweite all'!F9*1000</f>
        <v>0.22451700083815701</v>
      </c>
      <c r="G9" s="186">
        <f>' Übersicht Umsätze '!G9/' Übersicht Reichweite all'!G9*1000</f>
        <v>0.18716787600115531</v>
      </c>
      <c r="H9" s="186">
        <f>' Übersicht Umsätze '!H9/' Übersicht Reichweite all'!H9*1000</f>
        <v>0.17908338191029763</v>
      </c>
      <c r="I9" s="186">
        <f>' Übersicht Umsätze '!I9/' Übersicht Reichweite all'!I9*1000</f>
        <v>0.14661853788442988</v>
      </c>
      <c r="J9" s="186">
        <f>' Übersicht Umsätze '!J9/' Übersicht Reichweite all'!J9*1000</f>
        <v>0.14979486690201313</v>
      </c>
      <c r="K9" s="186">
        <f>' Übersicht Umsätze '!K9/' Übersicht Reichweite all'!K9*1000</f>
        <v>0.1534673701670774</v>
      </c>
      <c r="L9" s="186">
        <f>' Übersicht Umsätze '!L9/' Übersicht Reichweite all'!L9*1000</f>
        <v>0.25828549559892844</v>
      </c>
      <c r="M9" s="186">
        <f>' Übersicht Umsätze '!M9/' Übersicht Reichweite all'!M9*1000</f>
        <v>0.21485653667407556</v>
      </c>
      <c r="N9" s="186">
        <f>' Übersicht Umsätze '!N9/' Übersicht Reichweite all'!N9*1000</f>
        <v>0.16670314038735093</v>
      </c>
      <c r="O9" s="186">
        <f>' Übersicht Umsätze '!O9/' Übersicht Reichweite all'!O9*1000</f>
        <v>0.15574653492520929</v>
      </c>
      <c r="P9" s="186">
        <f>' Übersicht Umsätze '!P9/' Übersicht Reichweite all'!P9*1000</f>
        <v>0.12925493500240731</v>
      </c>
      <c r="Q9" s="197">
        <f>' Übersicht Umsätze '!Q9/' Übersicht Reichweite all'!Q9*1000</f>
        <v>0.19005763432384537</v>
      </c>
      <c r="R9" s="186">
        <f>' Übersicht Umsätze '!R9/' Übersicht Reichweite all'!R9*1000</f>
        <v>0.10291702151752931</v>
      </c>
      <c r="S9" s="186">
        <f>' Übersicht Umsätze '!S9/' Übersicht Reichweite all'!S9*1000</f>
        <v>0.11493030391164594</v>
      </c>
      <c r="T9" s="186">
        <f>' Übersicht Umsätze '!T9/' Übersicht Reichweite all'!T9*1000</f>
        <v>0.10442975319245203</v>
      </c>
      <c r="U9" s="186">
        <f>' Übersicht Umsätze '!U9/' Übersicht Reichweite all'!U9*1000</f>
        <v>5.5178955456447611E-2</v>
      </c>
      <c r="V9" s="186">
        <f>' Übersicht Umsätze '!V9/' Übersicht Reichweite all'!V9*1000</f>
        <v>0.16856503633286896</v>
      </c>
      <c r="W9" s="186">
        <f>' Übersicht Umsätze '!W9/' Übersicht Reichweite all'!W9*1000</f>
        <v>0.15904416904522084</v>
      </c>
      <c r="X9" s="186" t="e">
        <f>' Übersicht Umsätze '!X9/' Übersicht Reichweite all'!X9*1000</f>
        <v>#DIV/0!</v>
      </c>
      <c r="Y9" s="186" t="e">
        <f>' Übersicht Umsätze '!Y9/' Übersicht Reichweite all'!Y9*1000</f>
        <v>#DIV/0!</v>
      </c>
      <c r="Z9" s="186">
        <f>' Übersicht Umsätze '!Z9/' Übersicht Reichweite all'!Z9*1000</f>
        <v>0.24763489246209955</v>
      </c>
      <c r="AA9" s="186">
        <f>' Übersicht Umsätze '!AA9/' Übersicht Reichweite all'!AA9*1000</f>
        <v>0.24375915620330491</v>
      </c>
      <c r="AB9" s="186">
        <f>' Übersicht Umsätze '!AB9/' Übersicht Reichweite all'!AB9*1000</f>
        <v>0.18605972855577055</v>
      </c>
      <c r="AC9" s="186">
        <f>' Übersicht Umsätze '!AC9/' Übersicht Reichweite all'!AC9*1000</f>
        <v>0.38375355678146567</v>
      </c>
      <c r="AD9" s="197">
        <f>' Übersicht Umsätze '!AD9/' Übersicht Reichweite all'!AD9*1000</f>
        <v>0.12190202273036371</v>
      </c>
      <c r="AE9" s="186">
        <f>' Übersicht Umsätze '!AE9/' Übersicht Reichweite all'!AE9*1000</f>
        <v>0.33495815719092398</v>
      </c>
      <c r="AF9" s="186">
        <f>' Übersicht Umsätze '!AF9/' Übersicht Reichweite all'!AF9*1000</f>
        <v>0.29415530813791813</v>
      </c>
      <c r="AG9" s="186">
        <f>' Übersicht Umsätze '!AG9/' Übersicht Reichweite all'!AG9*1000</f>
        <v>0.24843800959135037</v>
      </c>
      <c r="AH9" s="186">
        <f>' Übersicht Umsätze '!AH9/' Übersicht Reichweite all'!AH9*1000</f>
        <v>0.19544384447324029</v>
      </c>
      <c r="AI9" s="186">
        <f>' Übersicht Umsätze '!AI9/' Übersicht Reichweite all'!AI9*1000</f>
        <v>0.14809573979595253</v>
      </c>
      <c r="AJ9" s="186">
        <f>' Übersicht Umsätze '!AJ9/' Übersicht Reichweite all'!AJ9*1000</f>
        <v>0</v>
      </c>
      <c r="AK9" s="186">
        <f>' Übersicht Umsätze '!AK9/' Übersicht Reichweite all'!AK9*1000</f>
        <v>0</v>
      </c>
      <c r="AL9" s="186">
        <f>' Übersicht Umsätze '!AL9/' Übersicht Reichweite all'!AL9*1000</f>
        <v>0</v>
      </c>
      <c r="AM9" s="186" t="e">
        <f>' Übersicht Umsätze '!AM9/' Übersicht Reichweite all'!AM9*1000</f>
        <v>#DIV/0!</v>
      </c>
      <c r="AN9" s="186" t="e">
        <f>' Übersicht Umsätze '!AN9/' Übersicht Reichweite all'!AN9*1000</f>
        <v>#DIV/0!</v>
      </c>
      <c r="AO9" s="186" t="e">
        <f>' Übersicht Umsätze '!AO9/' Übersicht Reichweite all'!AO9*1000</f>
        <v>#DIV/0!</v>
      </c>
      <c r="AP9" s="186" t="e">
        <f>' Übersicht Umsätze '!AP9/' Übersicht Reichweite all'!AP9*1000</f>
        <v>#DIV/0!</v>
      </c>
      <c r="AQ9" s="197">
        <f>' Übersicht Umsätze '!AQ9/' Übersicht Reichweite all'!AQ9*1000</f>
        <v>0.23672027331160159</v>
      </c>
    </row>
    <row r="10" spans="1:43">
      <c r="A10" s="35"/>
      <c r="B10" s="33" t="s">
        <v>38</v>
      </c>
      <c r="C10" s="59" t="s">
        <v>109</v>
      </c>
      <c r="D10" s="33" t="s">
        <v>39</v>
      </c>
      <c r="E10" s="186">
        <f>' Übersicht Umsätze '!E10/' Übersicht Reichweite all'!E10*1000</f>
        <v>3.8877202166298287E-2</v>
      </c>
      <c r="F10" s="186">
        <f>' Übersicht Umsätze '!F10/' Übersicht Reichweite all'!F10*1000</f>
        <v>6.2499295663071455E-2</v>
      </c>
      <c r="G10" s="186">
        <f>' Übersicht Umsätze '!G10/' Übersicht Reichweite all'!G10*1000</f>
        <v>7.0719917702395607E-2</v>
      </c>
      <c r="H10" s="186">
        <f>' Übersicht Umsätze '!H10/' Übersicht Reichweite all'!H10*1000</f>
        <v>0.11062438875254538</v>
      </c>
      <c r="I10" s="186">
        <f>' Übersicht Umsätze '!I10/' Übersicht Reichweite all'!I10*1000</f>
        <v>9.9904244778507165E-2</v>
      </c>
      <c r="J10" s="186">
        <f>' Übersicht Umsätze '!J10/' Übersicht Reichweite all'!J10*1000</f>
        <v>0.11629391346846678</v>
      </c>
      <c r="K10" s="186">
        <f>' Übersicht Umsätze '!K10/' Übersicht Reichweite all'!K10*1000</f>
        <v>6.6100661558650547E-2</v>
      </c>
      <c r="L10" s="186">
        <f>' Übersicht Umsätze '!L10/' Übersicht Reichweite all'!L10*1000</f>
        <v>7.4746159206983312E-2</v>
      </c>
      <c r="M10" s="186">
        <f>' Übersicht Umsätze '!M10/' Übersicht Reichweite all'!M10*1000</f>
        <v>0.12226123478547885</v>
      </c>
      <c r="N10" s="186">
        <f>' Übersicht Umsätze '!N10/' Übersicht Reichweite all'!N10*1000</f>
        <v>0.12966668788878125</v>
      </c>
      <c r="O10" s="186">
        <f>' Übersicht Umsätze '!O10/' Übersicht Reichweite all'!O10*1000</f>
        <v>0.14713936663040275</v>
      </c>
      <c r="P10" s="186">
        <f>' Übersicht Umsätze '!P10/' Übersicht Reichweite all'!P10*1000</f>
        <v>0.1668116542706061</v>
      </c>
      <c r="Q10" s="197">
        <f>' Übersicht Umsätze '!Q10/' Übersicht Reichweite all'!Q10*1000</f>
        <v>7.6890591195697272E-2</v>
      </c>
      <c r="R10" s="186">
        <f>' Übersicht Umsätze '!R10/' Übersicht Reichweite all'!R10*1000</f>
        <v>8.7155703300308474E-2</v>
      </c>
      <c r="S10" s="186">
        <f>' Übersicht Umsätze '!S10/' Übersicht Reichweite all'!S10*1000</f>
        <v>0.15474440331058872</v>
      </c>
      <c r="T10" s="186">
        <f>' Übersicht Umsätze '!T10/' Übersicht Reichweite all'!T10*1000</f>
        <v>0.11665199369898674</v>
      </c>
      <c r="U10" s="186">
        <f>' Übersicht Umsätze '!U10/' Übersicht Reichweite all'!U10*1000</f>
        <v>0.1178791294197641</v>
      </c>
      <c r="V10" s="186">
        <f>' Übersicht Umsätze '!V10/' Übersicht Reichweite all'!V10*1000</f>
        <v>7.6689318842206658E-2</v>
      </c>
      <c r="W10" s="186">
        <f>' Übersicht Umsätze '!W10/' Übersicht Reichweite all'!W10*1000</f>
        <v>4.8533831870085885E-2</v>
      </c>
      <c r="X10" s="186" t="e">
        <f>' Übersicht Umsätze '!X10/' Übersicht Reichweite all'!X10*1000</f>
        <v>#DIV/0!</v>
      </c>
      <c r="Y10" s="186" t="e">
        <f>' Übersicht Umsätze '!Y10/' Übersicht Reichweite all'!Y10*1000</f>
        <v>#DIV/0!</v>
      </c>
      <c r="Z10" s="186">
        <f>' Übersicht Umsätze '!Z10/' Übersicht Reichweite all'!Z10*1000</f>
        <v>0.11814194123069593</v>
      </c>
      <c r="AA10" s="186">
        <f>' Übersicht Umsätze '!AA10/' Übersicht Reichweite all'!AA10*1000</f>
        <v>0.18599677407195048</v>
      </c>
      <c r="AB10" s="186">
        <f>' Übersicht Umsätze '!AB10/' Übersicht Reichweite all'!AB10*1000</f>
        <v>3.2477528797824784E-2</v>
      </c>
      <c r="AC10" s="186">
        <f>' Übersicht Umsätze '!AC10/' Übersicht Reichweite all'!AC10*1000</f>
        <v>0.11547284374325636</v>
      </c>
      <c r="AD10" s="197">
        <f>' Übersicht Umsätze '!AD10/' Übersicht Reichweite all'!AD10*1000</f>
        <v>0.10701972077311855</v>
      </c>
      <c r="AE10" s="186">
        <f>' Übersicht Umsätze '!AE10/' Übersicht Reichweite all'!AE10*1000</f>
        <v>0.13660067085605493</v>
      </c>
      <c r="AF10" s="186">
        <f>' Übersicht Umsätze '!AF10/' Übersicht Reichweite all'!AF10*1000</f>
        <v>0.13009027584042404</v>
      </c>
      <c r="AG10" s="186">
        <f>' Übersicht Umsätze '!AG10/' Übersicht Reichweite all'!AG10*1000</f>
        <v>7.9235982483207332E-2</v>
      </c>
      <c r="AH10" s="186">
        <f>' Übersicht Umsätze '!AH10/' Übersicht Reichweite all'!AH10*1000</f>
        <v>7.3760771452011709E-2</v>
      </c>
      <c r="AI10" s="186">
        <f>' Übersicht Umsätze '!AI10/' Übersicht Reichweite all'!AI10*1000</f>
        <v>3.9468407907574457E-3</v>
      </c>
      <c r="AJ10" s="186">
        <f>' Übersicht Umsätze '!AJ10/' Übersicht Reichweite all'!AJ10*1000</f>
        <v>0</v>
      </c>
      <c r="AK10" s="186">
        <f>' Übersicht Umsätze '!AK10/' Übersicht Reichweite all'!AK10*1000</f>
        <v>0</v>
      </c>
      <c r="AL10" s="186">
        <f>' Übersicht Umsätze '!AL10/' Übersicht Reichweite all'!AL10*1000</f>
        <v>0</v>
      </c>
      <c r="AM10" s="186" t="e">
        <f>' Übersicht Umsätze '!AM10/' Übersicht Reichweite all'!AM10*1000</f>
        <v>#DIV/0!</v>
      </c>
      <c r="AN10" s="186" t="e">
        <f>' Übersicht Umsätze '!AN10/' Übersicht Reichweite all'!AN10*1000</f>
        <v>#DIV/0!</v>
      </c>
      <c r="AO10" s="186" t="e">
        <f>' Übersicht Umsätze '!AO10/' Übersicht Reichweite all'!AO10*1000</f>
        <v>#DIV/0!</v>
      </c>
      <c r="AP10" s="186" t="e">
        <f>' Übersicht Umsätze '!AP10/' Übersicht Reichweite all'!AP10*1000</f>
        <v>#DIV/0!</v>
      </c>
      <c r="AQ10" s="197">
        <f>' Übersicht Umsätze '!AQ10/' Übersicht Reichweite all'!AQ10*1000</f>
        <v>8.4171274845179361E-2</v>
      </c>
    </row>
    <row r="11" spans="1:43">
      <c r="A11" s="35"/>
      <c r="B11" s="127" t="s">
        <v>35</v>
      </c>
      <c r="C11" s="85" t="s">
        <v>108</v>
      </c>
      <c r="D11" s="88" t="s">
        <v>40</v>
      </c>
      <c r="E11" s="187">
        <f>' Übersicht Umsätze '!E11/' Übersicht Reichweite all'!E11*1000</f>
        <v>1.094038407151829</v>
      </c>
      <c r="F11" s="187">
        <f>' Übersicht Umsätze '!F11/' Übersicht Reichweite all'!F11*1000</f>
        <v>1.6517045228432949</v>
      </c>
      <c r="G11" s="187">
        <f>' Übersicht Umsätze '!G11/' Übersicht Reichweite all'!G11*1000</f>
        <v>2.2714883081276822</v>
      </c>
      <c r="H11" s="187">
        <f>' Übersicht Umsätze '!H11/' Übersicht Reichweite all'!H11*1000</f>
        <v>2.2519454508267995</v>
      </c>
      <c r="I11" s="187">
        <f>' Übersicht Umsätze '!I11/' Übersicht Reichweite all'!I11*1000</f>
        <v>2.0029776999266873</v>
      </c>
      <c r="J11" s="187">
        <f>' Übersicht Umsätze '!J11/' Übersicht Reichweite all'!J11*1000</f>
        <v>1.9795152468747765</v>
      </c>
      <c r="K11" s="187">
        <f>' Übersicht Umsätze '!K11/' Übersicht Reichweite all'!K11*1000</f>
        <v>1.9046704792521676</v>
      </c>
      <c r="L11" s="187">
        <f>' Übersicht Umsätze '!L11/' Übersicht Reichweite all'!L11*1000</f>
        <v>1.6515849150384898</v>
      </c>
      <c r="M11" s="187">
        <f>' Übersicht Umsätze '!M11/' Übersicht Reichweite all'!M11*1000</f>
        <v>1.7140236235662476</v>
      </c>
      <c r="N11" s="187">
        <f>' Übersicht Umsätze '!N11/' Übersicht Reichweite all'!N11*1000</f>
        <v>2.1133415307186882</v>
      </c>
      <c r="O11" s="187">
        <f>' Übersicht Umsätze '!O11/' Übersicht Reichweite all'!O11*1000</f>
        <v>2.5250119152442427</v>
      </c>
      <c r="P11" s="187">
        <f>' Übersicht Umsätze '!P11/' Übersicht Reichweite all'!P11*1000</f>
        <v>1.9524689067732615</v>
      </c>
      <c r="Q11" s="198">
        <f>' Übersicht Umsätze '!Q11/' Übersicht Reichweite all'!Q11*1000</f>
        <v>1.8886406749623841</v>
      </c>
      <c r="R11" s="187">
        <f>' Übersicht Umsätze '!R11/' Übersicht Reichweite all'!R11*1000</f>
        <v>1.0490867027336701</v>
      </c>
      <c r="S11" s="187">
        <f>' Übersicht Umsätze '!S11/' Übersicht Reichweite all'!S11*1000</f>
        <v>1.4446935049099305</v>
      </c>
      <c r="T11" s="187">
        <f>' Übersicht Umsätze '!T11/' Übersicht Reichweite all'!T11*1000</f>
        <v>1.2548626110938705</v>
      </c>
      <c r="U11" s="187">
        <f>' Übersicht Umsätze '!U11/' Übersicht Reichweite all'!U11*1000</f>
        <v>1.4428882987220215</v>
      </c>
      <c r="V11" s="187">
        <f>' Übersicht Umsätze '!V11/' Übersicht Reichweite all'!V11*1000</f>
        <v>1.4680656846812001</v>
      </c>
      <c r="W11" s="187">
        <f>' Übersicht Umsätze '!W11/' Übersicht Reichweite all'!W11*1000</f>
        <v>1.5829894182810071</v>
      </c>
      <c r="X11" s="187">
        <f>' Übersicht Umsätze '!X11/' Übersicht Reichweite all'!X11*1000</f>
        <v>1.4407507616238759</v>
      </c>
      <c r="Y11" s="187">
        <f>' Übersicht Umsätze '!Y11/' Übersicht Reichweite all'!Y11*1000</f>
        <v>1.1749130783277595</v>
      </c>
      <c r="Z11" s="187">
        <f>' Übersicht Umsätze '!Z11/' Übersicht Reichweite all'!Z11*1000</f>
        <v>1.6923456357225342</v>
      </c>
      <c r="AA11" s="187">
        <f>' Übersicht Umsätze '!AA11/' Übersicht Reichweite all'!AA11*1000</f>
        <v>1.6031192886319678</v>
      </c>
      <c r="AB11" s="187">
        <f>' Übersicht Umsätze '!AB11/' Übersicht Reichweite all'!AB11*1000</f>
        <v>1.6389192226884048</v>
      </c>
      <c r="AC11" s="187">
        <f>' Übersicht Umsätze '!AC11/' Übersicht Reichweite all'!AC11*1000</f>
        <v>1.4715289499428814</v>
      </c>
      <c r="AD11" s="198">
        <f>' Übersicht Umsätze '!AD11/' Übersicht Reichweite all'!AD11*1000</f>
        <v>1.3927418775103071</v>
      </c>
      <c r="AE11" s="187">
        <f>' Übersicht Umsätze '!AE11/' Übersicht Reichweite all'!AE11*1000</f>
        <v>0.68223202084559598</v>
      </c>
      <c r="AF11" s="187">
        <f>' Übersicht Umsätze '!AF11/' Übersicht Reichweite all'!AF11*1000</f>
        <v>1.0418977377464318</v>
      </c>
      <c r="AG11" s="187">
        <f>' Übersicht Umsätze '!AG11/' Übersicht Reichweite all'!AG11*1000</f>
        <v>1.165464344775256</v>
      </c>
      <c r="AH11" s="187">
        <f>' Übersicht Umsätze '!AH11/' Übersicht Reichweite all'!AH11*1000</f>
        <v>1.055693423628719</v>
      </c>
      <c r="AI11" s="187">
        <f>' Übersicht Umsätze '!AI11/' Übersicht Reichweite all'!AI11*1000</f>
        <v>1.2884954335070797</v>
      </c>
      <c r="AJ11" s="187">
        <f>' Übersicht Umsätze '!AJ11/' Übersicht Reichweite all'!AJ11*1000</f>
        <v>1.4116084006568494</v>
      </c>
      <c r="AK11" s="187">
        <f>' Übersicht Umsätze '!AK11/' Übersicht Reichweite all'!AK11*1000</f>
        <v>1.0064254389904055</v>
      </c>
      <c r="AL11" s="187">
        <f>' Übersicht Umsätze '!AL11/' Übersicht Reichweite all'!AL11*1000</f>
        <v>0.75775469385188954</v>
      </c>
      <c r="AM11" s="187" t="e">
        <f>' Übersicht Umsätze '!AM11/' Übersicht Reichweite all'!AM11*1000</f>
        <v>#DIV/0!</v>
      </c>
      <c r="AN11" s="187" t="e">
        <f>' Übersicht Umsätze '!AN11/' Übersicht Reichweite all'!AN11*1000</f>
        <v>#DIV/0!</v>
      </c>
      <c r="AO11" s="187" t="e">
        <f>' Übersicht Umsätze '!AO11/' Übersicht Reichweite all'!AO11*1000</f>
        <v>#DIV/0!</v>
      </c>
      <c r="AP11" s="187" t="e">
        <f>' Übersicht Umsätze '!AP11/' Übersicht Reichweite all'!AP11*1000</f>
        <v>#DIV/0!</v>
      </c>
      <c r="AQ11" s="198">
        <f>' Übersicht Umsätze '!AQ11/' Übersicht Reichweite all'!AQ11*1000</f>
        <v>1.0406304334848104</v>
      </c>
    </row>
    <row r="12" spans="1:43">
      <c r="A12" s="35"/>
      <c r="B12" s="33" t="s">
        <v>36</v>
      </c>
      <c r="C12" s="59" t="s">
        <v>108</v>
      </c>
      <c r="D12" s="33" t="s">
        <v>40</v>
      </c>
      <c r="E12" s="186">
        <f>' Übersicht Umsätze '!E12/' Übersicht Reichweite all'!E12*1000</f>
        <v>1.6896147949844407</v>
      </c>
      <c r="F12" s="186">
        <f>' Übersicht Umsätze '!F12/' Übersicht Reichweite all'!F12*1000</f>
        <v>1.2199039371023499</v>
      </c>
      <c r="G12" s="186">
        <f>' Übersicht Umsätze '!G12/' Übersicht Reichweite all'!G12*1000</f>
        <v>1.1606274020593317</v>
      </c>
      <c r="H12" s="186">
        <f>' Übersicht Umsätze '!H12/' Übersicht Reichweite all'!H12*1000</f>
        <v>0.97500358847308988</v>
      </c>
      <c r="I12" s="186">
        <f>' Übersicht Umsätze '!I12/' Übersicht Reichweite all'!I12*1000</f>
        <v>0.88759918320191289</v>
      </c>
      <c r="J12" s="186">
        <f>' Übersicht Umsätze '!J12/' Übersicht Reichweite all'!J12*1000</f>
        <v>1.0882183915595931</v>
      </c>
      <c r="K12" s="186">
        <f>' Übersicht Umsätze '!K12/' Übersicht Reichweite all'!K12*1000</f>
        <v>0.93509728316143581</v>
      </c>
      <c r="L12" s="186">
        <f>' Übersicht Umsätze '!L12/' Übersicht Reichweite all'!L12*1000</f>
        <v>0.69466482965120857</v>
      </c>
      <c r="M12" s="186">
        <f>' Übersicht Umsätze '!M12/' Übersicht Reichweite all'!M12*1000</f>
        <v>0.76362597686550715</v>
      </c>
      <c r="N12" s="186">
        <f>' Übersicht Umsätze '!N12/' Übersicht Reichweite all'!N12*1000</f>
        <v>0.87512310316778086</v>
      </c>
      <c r="O12" s="186">
        <f>' Übersicht Umsätze '!O12/' Übersicht Reichweite all'!O12*1000</f>
        <v>0.96372837398623235</v>
      </c>
      <c r="P12" s="186">
        <f>' Übersicht Umsätze '!P12/' Übersicht Reichweite all'!P12*1000</f>
        <v>1.0884083056047136</v>
      </c>
      <c r="Q12" s="197">
        <f>' Übersicht Umsätze '!Q12/' Übersicht Reichweite all'!Q12*1000</f>
        <v>1.0323163655294949</v>
      </c>
      <c r="R12" s="186">
        <f>' Übersicht Umsätze '!R12/' Übersicht Reichweite all'!R12*1000</f>
        <v>0.8836305346847807</v>
      </c>
      <c r="S12" s="186">
        <f>' Übersicht Umsätze '!S12/' Übersicht Reichweite all'!S12*1000</f>
        <v>0.90133784319421018</v>
      </c>
      <c r="T12" s="186">
        <f>' Übersicht Umsätze '!T12/' Übersicht Reichweite all'!T12*1000</f>
        <v>0.87436983423547299</v>
      </c>
      <c r="U12" s="186">
        <f>' Übersicht Umsätze '!U12/' Übersicht Reichweite all'!U12*1000</f>
        <v>0.87023708011517198</v>
      </c>
      <c r="V12" s="186">
        <f>' Übersicht Umsätze '!V12/' Übersicht Reichweite all'!V12*1000</f>
        <v>0.77174933472256424</v>
      </c>
      <c r="W12" s="186">
        <f>' Übersicht Umsätze '!W12/' Übersicht Reichweite all'!W12*1000</f>
        <v>0.95418112567111724</v>
      </c>
      <c r="X12" s="186">
        <f>' Übersicht Umsätze '!X12/' Übersicht Reichweite all'!X12*1000</f>
        <v>0.98546176126324703</v>
      </c>
      <c r="Y12" s="186">
        <f>' Übersicht Umsätze '!Y12/' Übersicht Reichweite all'!Y12*1000</f>
        <v>1.033968526135209</v>
      </c>
      <c r="Z12" s="186">
        <f>' Übersicht Umsätze '!Z12/' Übersicht Reichweite all'!Z12*1000</f>
        <v>0.99156035601022097</v>
      </c>
      <c r="AA12" s="186">
        <f>' Übersicht Umsätze '!AA12/' Übersicht Reichweite all'!AA12*1000</f>
        <v>0.96133247941727173</v>
      </c>
      <c r="AB12" s="186">
        <f>' Übersicht Umsätze '!AB12/' Übersicht Reichweite all'!AB12*1000</f>
        <v>1.1658650915420807</v>
      </c>
      <c r="AC12" s="186">
        <f>' Übersicht Umsätze '!AC12/' Übersicht Reichweite all'!AC12*1000</f>
        <v>1.1481877068263791</v>
      </c>
      <c r="AD12" s="197">
        <f>' Übersicht Umsätze '!AD12/' Übersicht Reichweite all'!AD12*1000</f>
        <v>0.98986911078910667</v>
      </c>
      <c r="AE12" s="186">
        <f>' Übersicht Umsätze '!AE12/' Übersicht Reichweite all'!AE12*1000</f>
        <v>0.97616242596995662</v>
      </c>
      <c r="AF12" s="186">
        <f>' Übersicht Umsätze '!AF12/' Übersicht Reichweite all'!AF12*1000</f>
        <v>0.84052461863120931</v>
      </c>
      <c r="AG12" s="186">
        <f>' Übersicht Umsätze '!AG12/' Übersicht Reichweite all'!AG12*1000</f>
        <v>0.84944338617820314</v>
      </c>
      <c r="AH12" s="186">
        <f>' Übersicht Umsätze '!AH12/' Übersicht Reichweite all'!AH12*1000</f>
        <v>0.95268345762986151</v>
      </c>
      <c r="AI12" s="186">
        <f>' Übersicht Umsätze '!AI12/' Übersicht Reichweite all'!AI12*1000</f>
        <v>0.97771131709761661</v>
      </c>
      <c r="AJ12" s="186">
        <f>' Übersicht Umsätze '!AJ12/' Übersicht Reichweite all'!AJ12*1000</f>
        <v>1.0039641423103711</v>
      </c>
      <c r="AK12" s="186">
        <f>' Übersicht Umsätze '!AK12/' Übersicht Reichweite all'!AK12*1000</f>
        <v>0.90958966508140648</v>
      </c>
      <c r="AL12" s="186">
        <f>' Übersicht Umsätze '!AL12/' Übersicht Reichweite all'!AL12*1000</f>
        <v>0</v>
      </c>
      <c r="AM12" s="186" t="e">
        <f>' Übersicht Umsätze '!AM12/' Übersicht Reichweite all'!AM12*1000</f>
        <v>#DIV/0!</v>
      </c>
      <c r="AN12" s="186" t="e">
        <f>' Übersicht Umsätze '!AN12/' Übersicht Reichweite all'!AN12*1000</f>
        <v>#DIV/0!</v>
      </c>
      <c r="AO12" s="186" t="e">
        <f>' Übersicht Umsätze '!AO12/' Übersicht Reichweite all'!AO12*1000</f>
        <v>#DIV/0!</v>
      </c>
      <c r="AP12" s="186" t="e">
        <f>' Übersicht Umsätze '!AP12/' Übersicht Reichweite all'!AP12*1000</f>
        <v>#DIV/0!</v>
      </c>
      <c r="AQ12" s="197">
        <f>' Übersicht Umsätze '!AQ12/' Übersicht Reichweite all'!AQ12*1000</f>
        <v>0.84136531598437958</v>
      </c>
    </row>
    <row r="13" spans="1:43">
      <c r="A13" s="35"/>
      <c r="B13" s="63" t="s">
        <v>36</v>
      </c>
      <c r="C13" s="59" t="s">
        <v>15</v>
      </c>
      <c r="D13" s="63" t="s">
        <v>40</v>
      </c>
      <c r="E13" s="186">
        <f>' Übersicht Umsätze '!E13/' Übersicht Reichweite all'!E13*1000</f>
        <v>0</v>
      </c>
      <c r="F13" s="186">
        <f>' Übersicht Umsätze '!F13/' Übersicht Reichweite all'!F13*1000</f>
        <v>0</v>
      </c>
      <c r="G13" s="186">
        <f>' Übersicht Umsätze '!G13/' Übersicht Reichweite all'!G13*1000</f>
        <v>0</v>
      </c>
      <c r="H13" s="186">
        <f>' Übersicht Umsätze '!H13/' Übersicht Reichweite all'!H13*1000</f>
        <v>0</v>
      </c>
      <c r="I13" s="186">
        <f>' Übersicht Umsätze '!I13/' Übersicht Reichweite all'!I13*1000</f>
        <v>0</v>
      </c>
      <c r="J13" s="186">
        <f>' Übersicht Umsätze '!J13/' Übersicht Reichweite all'!J13*1000</f>
        <v>0</v>
      </c>
      <c r="K13" s="186">
        <f>' Übersicht Umsätze '!K13/' Übersicht Reichweite all'!K13*1000</f>
        <v>0.13456509038890982</v>
      </c>
      <c r="L13" s="186">
        <f>' Übersicht Umsätze '!L13/' Übersicht Reichweite all'!L13*1000</f>
        <v>0.11126714288222328</v>
      </c>
      <c r="M13" s="186">
        <f>' Übersicht Umsätze '!M13/' Übersicht Reichweite all'!M13*1000</f>
        <v>0.10704447971293819</v>
      </c>
      <c r="N13" s="186">
        <f>' Übersicht Umsätze '!N13/' Übersicht Reichweite all'!N13*1000</f>
        <v>0.36972576870371976</v>
      </c>
      <c r="O13" s="186">
        <f>' Übersicht Umsätze '!O13/' Übersicht Reichweite all'!O13*1000</f>
        <v>1.4244137306700031</v>
      </c>
      <c r="P13" s="186">
        <f>' Übersicht Umsätze '!P13/' Übersicht Reichweite all'!P13*1000</f>
        <v>1.2523762150451381</v>
      </c>
      <c r="Q13" s="197">
        <f>' Übersicht Umsätze '!Q13/' Übersicht Reichweite all'!Q13*1000</f>
        <v>0.86733708832560785</v>
      </c>
      <c r="R13" s="186">
        <f>' Übersicht Umsätze '!R13/' Übersicht Reichweite all'!R13*1000</f>
        <v>0.94931907225803414</v>
      </c>
      <c r="S13" s="186">
        <f>' Übersicht Umsätze '!S13/' Übersicht Reichweite all'!S13*1000</f>
        <v>0.77346210077076938</v>
      </c>
      <c r="T13" s="186">
        <f>' Übersicht Umsätze '!T13/' Übersicht Reichweite all'!T13*1000</f>
        <v>0.77917068835351344</v>
      </c>
      <c r="U13" s="186">
        <f>' Übersicht Umsätze '!U13/' Übersicht Reichweite all'!U13*1000</f>
        <v>0.61157561765655388</v>
      </c>
      <c r="V13" s="186">
        <f>' Übersicht Umsätze '!V13/' Übersicht Reichweite all'!V13*1000</f>
        <v>0.67399841982169495</v>
      </c>
      <c r="W13" s="186">
        <f>' Übersicht Umsätze '!W13/' Übersicht Reichweite all'!W13*1000</f>
        <v>0.64340607042624853</v>
      </c>
      <c r="X13" s="186">
        <f>' Übersicht Umsätze '!X13/' Übersicht Reichweite all'!X13*1000</f>
        <v>0.59363251175451737</v>
      </c>
      <c r="Y13" s="186">
        <f>' Übersicht Umsätze '!Y13/' Übersicht Reichweite all'!Y13*1000</f>
        <v>0.41030762163345885</v>
      </c>
      <c r="Z13" s="186">
        <f>' Übersicht Umsätze '!Z13/' Übersicht Reichweite all'!Z13*1000</f>
        <v>0.48731149493890052</v>
      </c>
      <c r="AA13" s="186">
        <f>' Übersicht Umsätze '!AA13/' Übersicht Reichweite all'!AA13*1000</f>
        <v>0.38150850412220749</v>
      </c>
      <c r="AB13" s="186">
        <f>' Übersicht Umsätze '!AB13/' Übersicht Reichweite all'!AB13*1000</f>
        <v>0.82448882298993598</v>
      </c>
      <c r="AC13" s="186">
        <f>' Übersicht Umsätze '!AC13/' Übersicht Reichweite all'!AC13*1000</f>
        <v>0.40899832185118384</v>
      </c>
      <c r="AD13" s="197">
        <f>' Übersicht Umsätze '!AD13/' Übersicht Reichweite all'!AD13*1000</f>
        <v>0.68988574614463261</v>
      </c>
      <c r="AE13" s="186">
        <f>' Übersicht Umsätze '!AE13/' Übersicht Reichweite all'!AE13*1000</f>
        <v>0.36588609369271796</v>
      </c>
      <c r="AF13" s="186">
        <f>' Übersicht Umsätze '!AF13/' Übersicht Reichweite all'!AF13*1000</f>
        <v>0.43943302456694122</v>
      </c>
      <c r="AG13" s="186">
        <f>' Übersicht Umsätze '!AG13/' Übersicht Reichweite all'!AG13*1000</f>
        <v>0.38571131337567488</v>
      </c>
      <c r="AH13" s="186">
        <f>' Übersicht Umsätze '!AH13/' Übersicht Reichweite all'!AH13*1000</f>
        <v>0.44031256580065264</v>
      </c>
      <c r="AI13" s="186">
        <f>' Übersicht Umsätze '!AI13/' Übersicht Reichweite all'!AI13*1000</f>
        <v>0.49641038147953304</v>
      </c>
      <c r="AJ13" s="186">
        <f>' Übersicht Umsätze '!AJ13/' Übersicht Reichweite all'!AJ13*1000</f>
        <v>0.59400164923879839</v>
      </c>
      <c r="AK13" s="186">
        <f>' Übersicht Umsätze '!AK13/' Übersicht Reichweite all'!AK13*1000</f>
        <v>0.38744133892062965</v>
      </c>
      <c r="AL13" s="186">
        <f>' Übersicht Umsätze '!AL13/' Übersicht Reichweite all'!AL13*1000</f>
        <v>0</v>
      </c>
      <c r="AM13" s="186" t="e">
        <f>' Übersicht Umsätze '!AM13/' Übersicht Reichweite all'!AM13*1000</f>
        <v>#DIV/0!</v>
      </c>
      <c r="AN13" s="186" t="e">
        <f>' Übersicht Umsätze '!AN13/' Übersicht Reichweite all'!AN13*1000</f>
        <v>#DIV/0!</v>
      </c>
      <c r="AO13" s="186" t="e">
        <f>' Übersicht Umsätze '!AO13/' Übersicht Reichweite all'!AO13*1000</f>
        <v>#DIV/0!</v>
      </c>
      <c r="AP13" s="186" t="e">
        <f>' Übersicht Umsätze '!AP13/' Übersicht Reichweite all'!AP13*1000</f>
        <v>#DIV/0!</v>
      </c>
      <c r="AQ13" s="197">
        <f>' Übersicht Umsätze '!AQ13/' Übersicht Reichweite all'!AQ13*1000</f>
        <v>0.44681262266662752</v>
      </c>
    </row>
    <row r="14" spans="1:43">
      <c r="A14" s="35"/>
      <c r="B14" s="63" t="s">
        <v>36</v>
      </c>
      <c r="C14" s="184" t="s">
        <v>227</v>
      </c>
      <c r="D14" s="183" t="s">
        <v>40</v>
      </c>
      <c r="E14" s="188" t="e">
        <f>' Übersicht Umsätze '!E14/' Übersicht Reichweite all'!E14*1000</f>
        <v>#DIV/0!</v>
      </c>
      <c r="F14" s="188" t="e">
        <f>' Übersicht Umsätze '!F14/' Übersicht Reichweite all'!F14*1000</f>
        <v>#DIV/0!</v>
      </c>
      <c r="G14" s="188" t="e">
        <f>' Übersicht Umsätze '!G14/' Übersicht Reichweite all'!G14*1000</f>
        <v>#DIV/0!</v>
      </c>
      <c r="H14" s="188" t="e">
        <f>' Übersicht Umsätze '!H14/' Übersicht Reichweite all'!H14*1000</f>
        <v>#DIV/0!</v>
      </c>
      <c r="I14" s="188" t="e">
        <f>' Übersicht Umsätze '!I14/' Übersicht Reichweite all'!I14*1000</f>
        <v>#DIV/0!</v>
      </c>
      <c r="J14" s="188" t="e">
        <f>' Übersicht Umsätze '!J14/' Übersicht Reichweite all'!J14*1000</f>
        <v>#DIV/0!</v>
      </c>
      <c r="K14" s="188" t="e">
        <f>' Übersicht Umsätze '!K14/' Übersicht Reichweite all'!K14*1000</f>
        <v>#DIV/0!</v>
      </c>
      <c r="L14" s="188" t="e">
        <f>' Übersicht Umsätze '!L14/' Übersicht Reichweite all'!L14*1000</f>
        <v>#DIV/0!</v>
      </c>
      <c r="M14" s="188" t="e">
        <f>' Übersicht Umsätze '!M14/' Übersicht Reichweite all'!M14*1000</f>
        <v>#DIV/0!</v>
      </c>
      <c r="N14" s="188" t="e">
        <f>' Übersicht Umsätze '!N14/' Übersicht Reichweite all'!N14*1000</f>
        <v>#DIV/0!</v>
      </c>
      <c r="O14" s="188" t="e">
        <f>' Übersicht Umsätze '!O14/' Übersicht Reichweite all'!O14*1000</f>
        <v>#DIV/0!</v>
      </c>
      <c r="P14" s="188" t="e">
        <f>' Übersicht Umsätze '!P14/' Übersicht Reichweite all'!P14*1000</f>
        <v>#DIV/0!</v>
      </c>
      <c r="Q14" s="197" t="e">
        <f>' Übersicht Umsätze '!Q14/' Übersicht Reichweite all'!Q14*1000</f>
        <v>#DIV/0!</v>
      </c>
      <c r="R14" s="188" t="e">
        <f>' Übersicht Umsätze '!R14/' Übersicht Reichweite all'!R14*1000</f>
        <v>#DIV/0!</v>
      </c>
      <c r="S14" s="188" t="e">
        <f>' Übersicht Umsätze '!S14/' Übersicht Reichweite all'!S14*1000</f>
        <v>#DIV/0!</v>
      </c>
      <c r="T14" s="188" t="e">
        <f>' Übersicht Umsätze '!T14/' Übersicht Reichweite all'!T14*1000</f>
        <v>#DIV/0!</v>
      </c>
      <c r="U14" s="188" t="e">
        <f>' Übersicht Umsätze '!U14/' Übersicht Reichweite all'!U14*1000</f>
        <v>#DIV/0!</v>
      </c>
      <c r="V14" s="188" t="e">
        <f>' Übersicht Umsätze '!V14/' Übersicht Reichweite all'!V14*1000</f>
        <v>#DIV/0!</v>
      </c>
      <c r="W14" s="188" t="e">
        <f>' Übersicht Umsätze '!W14/' Übersicht Reichweite all'!W14*1000</f>
        <v>#DIV/0!</v>
      </c>
      <c r="X14" s="188">
        <f>' Übersicht Umsätze '!X14/' Übersicht Reichweite all'!X14*1000</f>
        <v>0.78987797440615248</v>
      </c>
      <c r="Y14" s="188">
        <f>' Übersicht Umsätze '!Y14/' Übersicht Reichweite all'!Y14*1000</f>
        <v>0.72983434680944126</v>
      </c>
      <c r="Z14" s="188">
        <f>' Übersicht Umsätze '!Z14/' Übersicht Reichweite all'!Z14*1000</f>
        <v>1.2200802221083915</v>
      </c>
      <c r="AA14" s="188">
        <f>' Übersicht Umsätze '!AA14/' Übersicht Reichweite all'!AA14*1000</f>
        <v>1.5015046743960077</v>
      </c>
      <c r="AB14" s="188">
        <f>' Übersicht Umsätze '!AB14/' Übersicht Reichweite all'!AB14*1000</f>
        <v>0.69353038737395567</v>
      </c>
      <c r="AC14" s="188">
        <f>' Übersicht Umsätze '!AC14/' Übersicht Reichweite all'!AC14*1000</f>
        <v>0.81088879381535617</v>
      </c>
      <c r="AD14" s="197">
        <f>' Übersicht Umsätze '!AD14/' Übersicht Reichweite all'!AD14*1000</f>
        <v>0</v>
      </c>
      <c r="AE14" s="188">
        <f>' Übersicht Umsätze '!AE14/' Übersicht Reichweite all'!AE14*1000</f>
        <v>0.5155083435662392</v>
      </c>
      <c r="AF14" s="188">
        <f>' Übersicht Umsätze '!AF14/' Übersicht Reichweite all'!AF14*1000</f>
        <v>0.54539314730360522</v>
      </c>
      <c r="AG14" s="188">
        <f>' Übersicht Umsätze '!AG14/' Übersicht Reichweite all'!AG14*1000</f>
        <v>0.64403974571976574</v>
      </c>
      <c r="AH14" s="188">
        <f>' Übersicht Umsätze '!AH14/' Übersicht Reichweite all'!AH14*1000</f>
        <v>0.60747423366718256</v>
      </c>
      <c r="AI14" s="188">
        <f>' Übersicht Umsätze '!AI14/' Übersicht Reichweite all'!AI14*1000</f>
        <v>0.59548369297511761</v>
      </c>
      <c r="AJ14" s="188">
        <f>' Übersicht Umsätze '!AJ14/' Übersicht Reichweite all'!AJ14*1000</f>
        <v>0.50927710445091112</v>
      </c>
      <c r="AK14" s="188">
        <f>' Übersicht Umsätze '!AK14/' Übersicht Reichweite all'!AK14*1000</f>
        <v>0.58473782202786384</v>
      </c>
      <c r="AL14" s="188">
        <f>' Übersicht Umsätze '!AL14/' Übersicht Reichweite all'!AL14*1000</f>
        <v>0</v>
      </c>
      <c r="AM14" s="188" t="e">
        <f>' Übersicht Umsätze '!AM14/' Übersicht Reichweite all'!AM14*1000</f>
        <v>#DIV/0!</v>
      </c>
      <c r="AN14" s="188" t="e">
        <f>' Übersicht Umsätze '!AN14/' Übersicht Reichweite all'!AN14*1000</f>
        <v>#DIV/0!</v>
      </c>
      <c r="AO14" s="188" t="e">
        <f>' Übersicht Umsätze '!AO14/' Übersicht Reichweite all'!AO14*1000</f>
        <v>#DIV/0!</v>
      </c>
      <c r="AP14" s="188" t="e">
        <f>' Übersicht Umsätze '!AP14/' Übersicht Reichweite all'!AP14*1000</f>
        <v>#DIV/0!</v>
      </c>
      <c r="AQ14" s="197">
        <f>' Übersicht Umsätze '!AQ14/' Übersicht Reichweite all'!AQ14*1000</f>
        <v>0</v>
      </c>
    </row>
    <row r="15" spans="1:43">
      <c r="A15" s="35"/>
      <c r="B15" s="63" t="s">
        <v>36</v>
      </c>
      <c r="C15" s="59" t="s">
        <v>109</v>
      </c>
      <c r="D15" s="63" t="s">
        <v>40</v>
      </c>
      <c r="E15" s="186" t="e">
        <f>' Übersicht Umsätze '!E15/' Übersicht Reichweite all'!E15*1000</f>
        <v>#DIV/0!</v>
      </c>
      <c r="F15" s="186" t="e">
        <f>' Übersicht Umsätze '!F15/' Übersicht Reichweite all'!F15*1000</f>
        <v>#DIV/0!</v>
      </c>
      <c r="G15" s="186" t="e">
        <f>' Übersicht Umsätze '!G15/' Übersicht Reichweite all'!G15*1000</f>
        <v>#DIV/0!</v>
      </c>
      <c r="H15" s="186" t="e">
        <f>' Übersicht Umsätze '!H15/' Übersicht Reichweite all'!H15*1000</f>
        <v>#DIV/0!</v>
      </c>
      <c r="I15" s="186" t="e">
        <f>' Übersicht Umsätze '!I15/' Übersicht Reichweite all'!I15*1000</f>
        <v>#DIV/0!</v>
      </c>
      <c r="J15" s="186" t="e">
        <f>' Übersicht Umsätze '!J15/' Übersicht Reichweite all'!J15*1000</f>
        <v>#DIV/0!</v>
      </c>
      <c r="K15" s="186" t="e">
        <f>' Übersicht Umsätze '!K15/' Übersicht Reichweite all'!K15*1000</f>
        <v>#DIV/0!</v>
      </c>
      <c r="L15" s="186" t="e">
        <f>' Übersicht Umsätze '!L15/' Übersicht Reichweite all'!L15*1000</f>
        <v>#DIV/0!</v>
      </c>
      <c r="M15" s="186" t="e">
        <f>' Übersicht Umsätze '!M15/' Übersicht Reichweite all'!M15*1000</f>
        <v>#DIV/0!</v>
      </c>
      <c r="N15" s="186" t="e">
        <f>' Übersicht Umsätze '!N15/' Übersicht Reichweite all'!N15*1000</f>
        <v>#DIV/0!</v>
      </c>
      <c r="O15" s="186" t="e">
        <f>' Übersicht Umsätze '!O15/' Übersicht Reichweite all'!O15*1000</f>
        <v>#DIV/0!</v>
      </c>
      <c r="P15" s="186" t="e">
        <f>' Übersicht Umsätze '!P15/' Übersicht Reichweite all'!P15*1000</f>
        <v>#DIV/0!</v>
      </c>
      <c r="Q15" s="197" t="e">
        <f>' Übersicht Umsätze '!Q15/' Übersicht Reichweite all'!Q15*1000</f>
        <v>#DIV/0!</v>
      </c>
      <c r="R15" s="186">
        <f>' Übersicht Umsätze '!R15/' Übersicht Reichweite all'!R15*1000</f>
        <v>0.94981372461759517</v>
      </c>
      <c r="S15" s="186">
        <f>' Übersicht Umsätze '!S15/' Übersicht Reichweite all'!S15*1000</f>
        <v>0.79271605472076589</v>
      </c>
      <c r="T15" s="186">
        <f>' Übersicht Umsätze '!T15/' Übersicht Reichweite all'!T15*1000</f>
        <v>0.77934962299287391</v>
      </c>
      <c r="U15" s="186">
        <f>' Übersicht Umsätze '!U15/' Übersicht Reichweite all'!U15*1000</f>
        <v>0.64009665833595397</v>
      </c>
      <c r="V15" s="186">
        <f>' Übersicht Umsätze '!V15/' Übersicht Reichweite all'!V15*1000</f>
        <v>0.66671608758502698</v>
      </c>
      <c r="W15" s="186">
        <f>' Übersicht Umsätze '!W15/' Übersicht Reichweite all'!W15*1000</f>
        <v>0.61582544522300031</v>
      </c>
      <c r="X15" s="186">
        <f>' Übersicht Umsätze '!X15/' Übersicht Reichweite all'!X15*1000</f>
        <v>0.57127434736663574</v>
      </c>
      <c r="Y15" s="186">
        <f>' Übersicht Umsätze '!Y15/' Übersicht Reichweite all'!Y15*1000</f>
        <v>0.40280782014115235</v>
      </c>
      <c r="Z15" s="186">
        <f>' Übersicht Umsätze '!Z15/' Übersicht Reichweite all'!Z15*1000</f>
        <v>0.46974986093652132</v>
      </c>
      <c r="AA15" s="186">
        <f>' Übersicht Umsätze '!AA15/' Übersicht Reichweite all'!AA15*1000</f>
        <v>0.3835151302382605</v>
      </c>
      <c r="AB15" s="186">
        <f>' Übersicht Umsätze '!AB15/' Übersicht Reichweite all'!AB15*1000</f>
        <v>0.82427987640785405</v>
      </c>
      <c r="AC15" s="186">
        <f>' Übersicht Umsätze '!AC15/' Übersicht Reichweite all'!AC15*1000</f>
        <v>0.40372364646953063</v>
      </c>
      <c r="AD15" s="197">
        <f>' Übersicht Umsätze '!AD15/' Übersicht Reichweite all'!AD15*1000</f>
        <v>0.6227955934322934</v>
      </c>
      <c r="AE15" s="186">
        <f>' Übersicht Umsätze '!AE15/' Übersicht Reichweite all'!AE15*1000</f>
        <v>0.28819425763526479</v>
      </c>
      <c r="AF15" s="186">
        <f>' Übersicht Umsätze '!AF15/' Übersicht Reichweite all'!AF15*1000</f>
        <v>5.0621926525889496</v>
      </c>
      <c r="AG15" s="186">
        <f>' Übersicht Umsätze '!AG15/' Übersicht Reichweite all'!AG15*1000</f>
        <v>0</v>
      </c>
      <c r="AH15" s="186" t="e">
        <f>' Übersicht Umsätze '!AH15/' Übersicht Reichweite all'!AH15*1000</f>
        <v>#DIV/0!</v>
      </c>
      <c r="AI15" s="186" t="e">
        <f>' Übersicht Umsätze '!AI15/' Übersicht Reichweite all'!AI15*1000</f>
        <v>#DIV/0!</v>
      </c>
      <c r="AJ15" s="186" t="e">
        <f>' Übersicht Umsätze '!AJ15/' Übersicht Reichweite all'!AJ15*1000</f>
        <v>#DIV/0!</v>
      </c>
      <c r="AK15" s="186" t="e">
        <f>' Übersicht Umsätze '!AK15/' Übersicht Reichweite all'!AK15*1000</f>
        <v>#DIV/0!</v>
      </c>
      <c r="AL15" s="186" t="e">
        <f>' Übersicht Umsätze '!AL15/' Übersicht Reichweite all'!AL15*1000</f>
        <v>#DIV/0!</v>
      </c>
      <c r="AM15" s="186" t="e">
        <f>' Übersicht Umsätze '!AM15/' Übersicht Reichweite all'!AM15*1000</f>
        <v>#DIV/0!</v>
      </c>
      <c r="AN15" s="186" t="e">
        <f>' Übersicht Umsätze '!AN15/' Übersicht Reichweite all'!AN15*1000</f>
        <v>#DIV/0!</v>
      </c>
      <c r="AO15" s="186" t="e">
        <f>' Übersicht Umsätze '!AO15/' Übersicht Reichweite all'!AO15*1000</f>
        <v>#DIV/0!</v>
      </c>
      <c r="AP15" s="186" t="e">
        <f>' Übersicht Umsätze '!AP15/' Übersicht Reichweite all'!AP15*1000</f>
        <v>#DIV/0!</v>
      </c>
      <c r="AQ15" s="197">
        <f>' Übersicht Umsätze '!AQ15/' Übersicht Reichweite all'!AQ15*1000</f>
        <v>0.55697942000850675</v>
      </c>
    </row>
    <row r="16" spans="1:43">
      <c r="A16" s="35"/>
      <c r="B16" s="86" t="s">
        <v>43</v>
      </c>
      <c r="C16" s="85" t="s">
        <v>108</v>
      </c>
      <c r="D16" s="86" t="s">
        <v>40</v>
      </c>
      <c r="E16" s="187" t="e">
        <f>' Übersicht Umsätze '!E16/' Übersicht Reichweite all'!E16*1000</f>
        <v>#DIV/0!</v>
      </c>
      <c r="F16" s="187">
        <f>' Übersicht Umsätze '!F16/' Übersicht Reichweite all'!F16*1000</f>
        <v>8.2819485872160357</v>
      </c>
      <c r="G16" s="187">
        <f>' Übersicht Umsätze '!G16/' Übersicht Reichweite all'!G16*1000</f>
        <v>1.8738394085840557</v>
      </c>
      <c r="H16" s="187">
        <f>' Übersicht Umsätze '!H16/' Übersicht Reichweite all'!H16*1000</f>
        <v>2.6026748900913912</v>
      </c>
      <c r="I16" s="187">
        <f>' Übersicht Umsätze '!I16/' Übersicht Reichweite all'!I16*1000</f>
        <v>3.0605733516802944</v>
      </c>
      <c r="J16" s="187">
        <f>' Übersicht Umsätze '!J16/' Übersicht Reichweite all'!J16*1000</f>
        <v>3.9545744781408487</v>
      </c>
      <c r="K16" s="187">
        <f>' Übersicht Umsätze '!K16/' Übersicht Reichweite all'!K16*1000</f>
        <v>3.3652523277352961</v>
      </c>
      <c r="L16" s="187">
        <f>' Übersicht Umsätze '!L16/' Übersicht Reichweite all'!L16*1000</f>
        <v>2.984917227007311</v>
      </c>
      <c r="M16" s="187">
        <f>' Übersicht Umsätze '!M16/' Übersicht Reichweite all'!M16*1000</f>
        <v>3.4018478991410444</v>
      </c>
      <c r="N16" s="187">
        <f>' Übersicht Umsätze '!N16/' Übersicht Reichweite all'!N16*1000</f>
        <v>4.4423508644301508</v>
      </c>
      <c r="O16" s="187">
        <f>' Übersicht Umsätze '!O16/' Übersicht Reichweite all'!O16*1000</f>
        <v>7.1994981048540634</v>
      </c>
      <c r="P16" s="187">
        <f>' Übersicht Umsätze '!P16/' Übersicht Reichweite all'!P16*1000</f>
        <v>6.6512190786061494</v>
      </c>
      <c r="Q16" s="198">
        <f>' Übersicht Umsätze '!Q16/' Übersicht Reichweite all'!Q16*1000</f>
        <v>4.5403327097601567</v>
      </c>
      <c r="R16" s="187">
        <f>' Übersicht Umsätze '!R16/' Übersicht Reichweite all'!R16*1000</f>
        <v>1.8351821355741349</v>
      </c>
      <c r="S16" s="187">
        <f>' Übersicht Umsätze '!S16/' Übersicht Reichweite all'!S16*1000</f>
        <v>0.47122392560944959</v>
      </c>
      <c r="T16" s="187">
        <f>' Übersicht Umsätze '!T16/' Übersicht Reichweite all'!T16*1000</f>
        <v>0.43316342224370524</v>
      </c>
      <c r="U16" s="187">
        <f>' Übersicht Umsätze '!U16/' Übersicht Reichweite all'!U16*1000</f>
        <v>0.13063707945597708</v>
      </c>
      <c r="V16" s="187">
        <f>' Übersicht Umsätze '!V16/' Übersicht Reichweite all'!V16*1000</f>
        <v>0.30836121432646202</v>
      </c>
      <c r="W16" s="187">
        <f>' Übersicht Umsätze '!W16/' Übersicht Reichweite all'!W16*1000</f>
        <v>0.27482720239649322</v>
      </c>
      <c r="X16" s="187" t="e">
        <f>' Übersicht Umsätze '!X16/' Übersicht Reichweite all'!X16*1000</f>
        <v>#DIV/0!</v>
      </c>
      <c r="Y16" s="187" t="e">
        <f>' Übersicht Umsätze '!Y16/' Übersicht Reichweite all'!Y16*1000</f>
        <v>#DIV/0!</v>
      </c>
      <c r="Z16" s="187" t="e">
        <f>' Übersicht Umsätze '!Z16/' Übersicht Reichweite all'!Z16*1000</f>
        <v>#DIV/0!</v>
      </c>
      <c r="AA16" s="187" t="e">
        <f>' Übersicht Umsätze '!AA16/' Übersicht Reichweite all'!AA16*1000</f>
        <v>#DIV/0!</v>
      </c>
      <c r="AB16" s="187" t="e">
        <f>' Übersicht Umsätze '!AB16/' Übersicht Reichweite all'!AB16*1000</f>
        <v>#DIV/0!</v>
      </c>
      <c r="AC16" s="187" t="e">
        <f>' Übersicht Umsätze '!AC16/' Übersicht Reichweite all'!AC16*1000</f>
        <v>#DIV/0!</v>
      </c>
      <c r="AD16" s="198">
        <f>' Übersicht Umsätze '!AD16/' Übersicht Reichweite all'!AD16*1000</f>
        <v>1.3392803931492141</v>
      </c>
      <c r="AE16" s="187" t="e">
        <f>' Übersicht Umsätze '!AE16/' Übersicht Reichweite all'!AE16*1000</f>
        <v>#DIV/0!</v>
      </c>
      <c r="AF16" s="187" t="e">
        <f>' Übersicht Umsätze '!AF16/' Übersicht Reichweite all'!AF16*1000</f>
        <v>#DIV/0!</v>
      </c>
      <c r="AG16" s="187" t="e">
        <f>' Übersicht Umsätze '!AG16/' Übersicht Reichweite all'!AG16*1000</f>
        <v>#DIV/0!</v>
      </c>
      <c r="AH16" s="187" t="e">
        <f>' Übersicht Umsätze '!AH16/' Übersicht Reichweite all'!AH16*1000</f>
        <v>#DIV/0!</v>
      </c>
      <c r="AI16" s="187" t="e">
        <f>' Übersicht Umsätze '!AI16/' Übersicht Reichweite all'!AI16*1000</f>
        <v>#DIV/0!</v>
      </c>
      <c r="AJ16" s="187" t="e">
        <f>' Übersicht Umsätze '!AJ16/' Übersicht Reichweite all'!AJ16*1000</f>
        <v>#DIV/0!</v>
      </c>
      <c r="AK16" s="187" t="e">
        <f>' Übersicht Umsätze '!AK16/' Übersicht Reichweite all'!AK16*1000</f>
        <v>#DIV/0!</v>
      </c>
      <c r="AL16" s="187" t="e">
        <f>' Übersicht Umsätze '!AL16/' Übersicht Reichweite all'!AL16*1000</f>
        <v>#DIV/0!</v>
      </c>
      <c r="AM16" s="187" t="e">
        <f>' Übersicht Umsätze '!AM16/' Übersicht Reichweite all'!AM16*1000</f>
        <v>#DIV/0!</v>
      </c>
      <c r="AN16" s="187" t="e">
        <f>' Übersicht Umsätze '!AN16/' Übersicht Reichweite all'!AN16*1000</f>
        <v>#DIV/0!</v>
      </c>
      <c r="AO16" s="187" t="e">
        <f>' Übersicht Umsätze '!AO16/' Übersicht Reichweite all'!AO16*1000</f>
        <v>#DIV/0!</v>
      </c>
      <c r="AP16" s="187" t="e">
        <f>' Übersicht Umsätze '!AP16/' Übersicht Reichweite all'!AP16*1000</f>
        <v>#DIV/0!</v>
      </c>
      <c r="AQ16" s="198" t="e">
        <f>' Übersicht Umsätze '!AQ16/' Übersicht Reichweite all'!AQ16*1000</f>
        <v>#DIV/0!</v>
      </c>
    </row>
    <row r="17" spans="1:43">
      <c r="A17" s="35"/>
      <c r="B17" s="33" t="s">
        <v>42</v>
      </c>
      <c r="C17" s="59" t="s">
        <v>108</v>
      </c>
      <c r="D17" s="33" t="s">
        <v>40</v>
      </c>
      <c r="E17" s="186">
        <f>' Übersicht Umsätze '!E17/' Übersicht Reichweite all'!E17*1000</f>
        <v>7.7091227726740961</v>
      </c>
      <c r="F17" s="186" t="e">
        <f>' Übersicht Umsätze '!F17/' Übersicht Reichweite all'!F17*1000</f>
        <v>#DIV/0!</v>
      </c>
      <c r="G17" s="186" t="e">
        <f>' Übersicht Umsätze '!G17/' Übersicht Reichweite all'!G17*1000</f>
        <v>#DIV/0!</v>
      </c>
      <c r="H17" s="186">
        <f>' Übersicht Umsätze '!H17/' Übersicht Reichweite all'!H17*1000</f>
        <v>4.3743095340146931</v>
      </c>
      <c r="I17" s="186" t="e">
        <f>' Übersicht Umsätze '!I17/' Übersicht Reichweite all'!I17*1000</f>
        <v>#DIV/0!</v>
      </c>
      <c r="J17" s="186" t="e">
        <f>' Übersicht Umsätze '!J17/' Übersicht Reichweite all'!J17*1000</f>
        <v>#DIV/0!</v>
      </c>
      <c r="K17" s="186">
        <f>' Übersicht Umsätze '!K17/' Übersicht Reichweite all'!K17*1000</f>
        <v>2.6073579641749016</v>
      </c>
      <c r="L17" s="186">
        <f>' Übersicht Umsätze '!L17/' Übersicht Reichweite all'!L17*1000</f>
        <v>6.4067427408045443</v>
      </c>
      <c r="M17" s="186">
        <f>' Übersicht Umsätze '!M17/' Übersicht Reichweite all'!M17*1000</f>
        <v>2.0338405646958329</v>
      </c>
      <c r="N17" s="186">
        <f>' Übersicht Umsätze '!N17/' Übersicht Reichweite all'!N17*1000</f>
        <v>1.2341654984288122</v>
      </c>
      <c r="O17" s="186">
        <f>' Übersicht Umsätze '!O17/' Übersicht Reichweite all'!O17*1000</f>
        <v>5.7644110275689222</v>
      </c>
      <c r="P17" s="186">
        <f>' Übersicht Umsätze '!P17/' Übersicht Reichweite all'!P17*1000</f>
        <v>3.5627519374584344</v>
      </c>
      <c r="Q17" s="197">
        <f>' Übersicht Umsätze '!Q17/' Übersicht Reichweite all'!Q17*1000</f>
        <v>4.0445278401325515</v>
      </c>
      <c r="R17" s="186">
        <f>' Übersicht Umsätze '!R17/' Übersicht Reichweite all'!R17*1000</f>
        <v>3.0710213163976743</v>
      </c>
      <c r="S17" s="186">
        <f>' Übersicht Umsätze '!S17/' Übersicht Reichweite all'!S17*1000</f>
        <v>1.7044718523518303</v>
      </c>
      <c r="T17" s="186">
        <f>' Übersicht Umsätze '!T17/' Übersicht Reichweite all'!T17*1000</f>
        <v>4.8725226267769477</v>
      </c>
      <c r="U17" s="186">
        <f>' Übersicht Umsätze '!U17/' Übersicht Reichweite all'!U17*1000</f>
        <v>2.9442700443874092</v>
      </c>
      <c r="V17" s="186">
        <f>' Übersicht Umsätze '!V17/' Übersicht Reichweite all'!V17*1000</f>
        <v>7.2564961766327922</v>
      </c>
      <c r="W17" s="186">
        <f>' Übersicht Umsätze '!W17/' Übersicht Reichweite all'!W17*1000</f>
        <v>5.1832477432936752</v>
      </c>
      <c r="X17" s="186">
        <f>' Übersicht Umsätze '!X17/' Übersicht Reichweite all'!X17*1000</f>
        <v>8.7751864727125444</v>
      </c>
      <c r="Y17" s="186">
        <f>' Übersicht Umsätze '!Y17/' Übersicht Reichweite all'!Y17*1000</f>
        <v>15.938889118461367</v>
      </c>
      <c r="Z17" s="186">
        <f>' Übersicht Umsätze '!Z17/' Übersicht Reichweite all'!Z17*1000</f>
        <v>8.3525131784096818</v>
      </c>
      <c r="AA17" s="186">
        <f>' Übersicht Umsätze '!AA17/' Übersicht Reichweite all'!AA17*1000</f>
        <v>7.7173224616661962</v>
      </c>
      <c r="AB17" s="186">
        <f>' Übersicht Umsätze '!AB17/' Übersicht Reichweite all'!AB17*1000</f>
        <v>8.460356847453621</v>
      </c>
      <c r="AC17" s="186">
        <f>' Übersicht Umsätze '!AC17/' Übersicht Reichweite all'!AC17*1000</f>
        <v>7.1216354398988724</v>
      </c>
      <c r="AD17" s="197">
        <f>' Übersicht Umsätze '!AD17/' Übersicht Reichweite all'!AD17*1000</f>
        <v>5.0935611652135133</v>
      </c>
      <c r="AE17" s="186">
        <f>' Übersicht Umsätze '!AE17/' Übersicht Reichweite all'!AE17*1000</f>
        <v>2.4951040513836182</v>
      </c>
      <c r="AF17" s="186">
        <f>' Übersicht Umsätze '!AF17/' Übersicht Reichweite all'!AF17*1000</f>
        <v>2.498784321595922</v>
      </c>
      <c r="AG17" s="186">
        <f>' Übersicht Umsätze '!AG17/' Übersicht Reichweite all'!AG17*1000</f>
        <v>2.4879808571825812</v>
      </c>
      <c r="AH17" s="186">
        <f>' Übersicht Umsätze '!AH17/' Übersicht Reichweite all'!AH17*1000</f>
        <v>2.4964225112016449</v>
      </c>
      <c r="AI17" s="186">
        <f>' Übersicht Umsätze '!AI17/' Übersicht Reichweite all'!AI17*1000</f>
        <v>2.4999831235022105</v>
      </c>
      <c r="AJ17" s="186">
        <f>' Übersicht Umsätze '!AJ17/' Übersicht Reichweite all'!AJ17*1000</f>
        <v>2.4940052351229154</v>
      </c>
      <c r="AK17" s="186">
        <f>' Übersicht Umsätze '!AK17/' Übersicht Reichweite all'!AK17*1000</f>
        <v>2.4990112476607567</v>
      </c>
      <c r="AL17" s="186">
        <f>' Übersicht Umsätze '!AL17/' Übersicht Reichweite all'!AL17*1000</f>
        <v>2.4993357730341308</v>
      </c>
      <c r="AM17" s="186" t="e">
        <f>' Übersicht Umsätze '!AM17/' Übersicht Reichweite all'!AM17*1000</f>
        <v>#DIV/0!</v>
      </c>
      <c r="AN17" s="186" t="e">
        <f>' Übersicht Umsätze '!AN17/' Übersicht Reichweite all'!AN17*1000</f>
        <v>#DIV/0!</v>
      </c>
      <c r="AO17" s="186" t="e">
        <f>' Übersicht Umsätze '!AO17/' Übersicht Reichweite all'!AO17*1000</f>
        <v>#DIV/0!</v>
      </c>
      <c r="AP17" s="186" t="e">
        <f>' Übersicht Umsätze '!AP17/' Übersicht Reichweite all'!AP17*1000</f>
        <v>#DIV/0!</v>
      </c>
      <c r="AQ17" s="197">
        <f>' Übersicht Umsätze '!AQ17/' Übersicht Reichweite all'!AQ17*1000</f>
        <v>2.4969627277180608</v>
      </c>
    </row>
    <row r="18" spans="1:43">
      <c r="A18" s="35"/>
      <c r="B18" s="128" t="s">
        <v>25</v>
      </c>
      <c r="C18" s="85" t="s">
        <v>108</v>
      </c>
      <c r="D18" s="86" t="s">
        <v>40</v>
      </c>
      <c r="E18" s="187">
        <f>' Übersicht Umsätze '!E18/' Übersicht Reichweite all'!E18*1000</f>
        <v>0.19672437123792635</v>
      </c>
      <c r="F18" s="187">
        <f>' Übersicht Umsätze '!F18/' Übersicht Reichweite all'!F18*1000</f>
        <v>0.26763640545046857</v>
      </c>
      <c r="G18" s="187">
        <f>' Übersicht Umsätze '!G18/' Übersicht Reichweite all'!G18*1000</f>
        <v>0.26060680904270511</v>
      </c>
      <c r="H18" s="187">
        <f>' Übersicht Umsätze '!H18/' Übersicht Reichweite all'!H18*1000</f>
        <v>0.34232880951635841</v>
      </c>
      <c r="I18" s="187">
        <f>' Übersicht Umsätze '!I18/' Übersicht Reichweite all'!I18*1000</f>
        <v>0.27935191972297346</v>
      </c>
      <c r="J18" s="187">
        <f>' Übersicht Umsätze '!J18/' Übersicht Reichweite all'!J18*1000</f>
        <v>0.26279318261163953</v>
      </c>
      <c r="K18" s="187">
        <f>' Übersicht Umsätze '!K18/' Übersicht Reichweite all'!K18*1000</f>
        <v>0.4309656823623304</v>
      </c>
      <c r="L18" s="187">
        <f>' Übersicht Umsätze '!L18/' Übersicht Reichweite all'!L18*1000</f>
        <v>0.29886233387327477</v>
      </c>
      <c r="M18" s="187">
        <f>' Übersicht Umsätze '!M18/' Übersicht Reichweite all'!M18*1000</f>
        <v>0.37899832020812296</v>
      </c>
      <c r="N18" s="187">
        <f>' Übersicht Umsätze '!N18/' Übersicht Reichweite all'!N18*1000</f>
        <v>0.37113111169204083</v>
      </c>
      <c r="O18" s="187">
        <f>' Übersicht Umsätze '!O18/' Übersicht Reichweite all'!O18*1000</f>
        <v>0.48539370273342886</v>
      </c>
      <c r="P18" s="187">
        <f>' Übersicht Umsätze '!P18/' Übersicht Reichweite all'!P18*1000</f>
        <v>0.41932720073619378</v>
      </c>
      <c r="Q18" s="198">
        <f>' Übersicht Umsätze '!Q18/' Übersicht Reichweite all'!Q18*1000</f>
        <v>0.33987432045039351</v>
      </c>
      <c r="R18" s="187">
        <f>' Übersicht Umsätze '!R18/' Übersicht Reichweite all'!R18*1000</f>
        <v>0.29707244538482447</v>
      </c>
      <c r="S18" s="187">
        <f>' Übersicht Umsätze '!S18/' Übersicht Reichweite all'!S18*1000</f>
        <v>0.29456824512534818</v>
      </c>
      <c r="T18" s="187">
        <f>' Übersicht Umsätze '!T18/' Übersicht Reichweite all'!T18*1000</f>
        <v>0.26454492955551684</v>
      </c>
      <c r="U18" s="187">
        <f>' Übersicht Umsätze '!U18/' Übersicht Reichweite all'!U18*1000</f>
        <v>0.37534247849769975</v>
      </c>
      <c r="V18" s="187">
        <f>' Übersicht Umsätze '!V18/' Übersicht Reichweite all'!V18*1000</f>
        <v>0.3949660654012267</v>
      </c>
      <c r="W18" s="187">
        <f>' Übersicht Umsätze '!W18/' Übersicht Reichweite all'!W18*1000</f>
        <v>0.46438641031856398</v>
      </c>
      <c r="X18" s="187">
        <f>' Übersicht Umsätze '!X18/' Übersicht Reichweite all'!X18*1000</f>
        <v>0.36481893537423282</v>
      </c>
      <c r="Y18" s="187">
        <f>' Übersicht Umsätze '!Y18/' Übersicht Reichweite all'!Y18*1000</f>
        <v>0.38475490314623589</v>
      </c>
      <c r="Z18" s="187">
        <f>' Übersicht Umsätze '!Z18/' Übersicht Reichweite all'!Z18*1000</f>
        <v>0.43560619059057687</v>
      </c>
      <c r="AA18" s="187">
        <f>' Übersicht Umsätze '!AA18/' Übersicht Reichweite all'!AA18*1000</f>
        <v>0.40087410019097991</v>
      </c>
      <c r="AB18" s="187">
        <f>' Übersicht Umsätze '!AB18/' Übersicht Reichweite all'!AB18*1000</f>
        <v>0.38915530443112029</v>
      </c>
      <c r="AC18" s="187">
        <f>' Übersicht Umsätze '!AC18/' Übersicht Reichweite all'!AC18*1000</f>
        <v>0.38528719703203268</v>
      </c>
      <c r="AD18" s="198">
        <f>' Übersicht Umsätze '!AD18/' Übersicht Reichweite all'!AD18*1000</f>
        <v>0.36594110618834447</v>
      </c>
      <c r="AE18" s="187">
        <f>' Übersicht Umsätze '!AE18/' Übersicht Reichweite all'!AE18*1000</f>
        <v>0.39014212038896107</v>
      </c>
      <c r="AF18" s="187">
        <f>' Übersicht Umsätze '!AF18/' Übersicht Reichweite all'!AF18*1000</f>
        <v>0.55500009998200317</v>
      </c>
      <c r="AG18" s="187">
        <f>' Übersicht Umsätze '!AG18/' Übersicht Reichweite all'!AG18*1000</f>
        <v>8.563954766947926E-2</v>
      </c>
      <c r="AH18" s="187">
        <f>' Übersicht Umsätze '!AH18/' Übersicht Reichweite all'!AH18*1000</f>
        <v>0.26989070037247359</v>
      </c>
      <c r="AI18" s="187">
        <f>' Übersicht Umsätze '!AI18/' Übersicht Reichweite all'!AI18*1000</f>
        <v>0.29858023246743109</v>
      </c>
      <c r="AJ18" s="187" t="e">
        <f>' Übersicht Umsätze '!AJ18/' Übersicht Reichweite all'!AJ18*1000</f>
        <v>#DIV/0!</v>
      </c>
      <c r="AK18" s="187" t="e">
        <f>' Übersicht Umsätze '!AK18/' Übersicht Reichweite all'!AK18*1000</f>
        <v>#DIV/0!</v>
      </c>
      <c r="AL18" s="187" t="e">
        <f>' Übersicht Umsätze '!AL18/' Übersicht Reichweite all'!AL18*1000</f>
        <v>#DIV/0!</v>
      </c>
      <c r="AM18" s="187" t="e">
        <f>' Übersicht Umsätze '!AM18/' Übersicht Reichweite all'!AM18*1000</f>
        <v>#DIV/0!</v>
      </c>
      <c r="AN18" s="187" t="e">
        <f>' Übersicht Umsätze '!AN18/' Übersicht Reichweite all'!AN18*1000</f>
        <v>#DIV/0!</v>
      </c>
      <c r="AO18" s="187" t="e">
        <f>' Übersicht Umsätze '!AO18/' Übersicht Reichweite all'!AO18*1000</f>
        <v>#DIV/0!</v>
      </c>
      <c r="AP18" s="187" t="e">
        <f>' Übersicht Umsätze '!AP18/' Übersicht Reichweite all'!AP18*1000</f>
        <v>#DIV/0!</v>
      </c>
      <c r="AQ18" s="198">
        <f>' Übersicht Umsätze '!AQ18/' Übersicht Reichweite all'!AQ18*1000</f>
        <v>0.33809309071975158</v>
      </c>
    </row>
    <row r="19" spans="1:43">
      <c r="A19" s="35"/>
      <c r="B19" s="128" t="s">
        <v>25</v>
      </c>
      <c r="C19" s="85" t="s">
        <v>15</v>
      </c>
      <c r="D19" s="86" t="s">
        <v>40</v>
      </c>
      <c r="E19" s="187">
        <f>' Übersicht Umsätze '!E19/' Übersicht Reichweite all'!E19*1000</f>
        <v>0.39695141314703081</v>
      </c>
      <c r="F19" s="187">
        <f>' Übersicht Umsätze '!F19/' Übersicht Reichweite all'!F19*1000</f>
        <v>0.21870671429612887</v>
      </c>
      <c r="G19" s="187">
        <f>' Übersicht Umsätze '!G19/' Übersicht Reichweite all'!G19*1000</f>
        <v>0.35832019492618605</v>
      </c>
      <c r="H19" s="187">
        <f>' Übersicht Umsätze '!H19/' Übersicht Reichweite all'!H19*1000</f>
        <v>0.78219441086539143</v>
      </c>
      <c r="I19" s="187">
        <f>' Übersicht Umsätze '!I19/' Übersicht Reichweite all'!I19*1000</f>
        <v>0.43892651116127412</v>
      </c>
      <c r="J19" s="187">
        <f>' Übersicht Umsätze '!J19/' Übersicht Reichweite all'!J19*1000</f>
        <v>0.22130013831258644</v>
      </c>
      <c r="K19" s="187">
        <f>' Übersicht Umsätze '!K19/' Übersicht Reichweite all'!K19*1000</f>
        <v>0.35059016010283978</v>
      </c>
      <c r="L19" s="187">
        <f>' Übersicht Umsätze '!L19/' Übersicht Reichweite all'!L19*1000</f>
        <v>0.33619095646327113</v>
      </c>
      <c r="M19" s="187">
        <f>' Übersicht Umsätze '!M19/' Übersicht Reichweite all'!M19*1000</f>
        <v>0.36216887417218546</v>
      </c>
      <c r="N19" s="187">
        <f>' Übersicht Umsätze '!N19/' Übersicht Reichweite all'!N19*1000</f>
        <v>0.34944670937682004</v>
      </c>
      <c r="O19" s="187">
        <f>' Übersicht Umsätze '!O19/' Übersicht Reichweite all'!O19*1000</f>
        <v>0.44943820224719105</v>
      </c>
      <c r="P19" s="187">
        <f>' Übersicht Umsätze '!P19/' Übersicht Reichweite all'!P19*1000</f>
        <v>0.39079638793939087</v>
      </c>
      <c r="Q19" s="198">
        <f>' Übersicht Umsätze '!Q19/' Übersicht Reichweite all'!Q19*1000</f>
        <v>0.41243539706094423</v>
      </c>
      <c r="R19" s="187">
        <f>' Übersicht Umsätze '!R19/' Übersicht Reichweite all'!R19*1000</f>
        <v>0.32828282828282829</v>
      </c>
      <c r="S19" s="187">
        <f>' Übersicht Umsätze '!S19/' Übersicht Reichweite all'!S19*1000</f>
        <v>0.44778927563499527</v>
      </c>
      <c r="T19" s="187">
        <f>' Übersicht Umsätze '!T19/' Übersicht Reichweite all'!T19*1000</f>
        <v>0.24731104119411718</v>
      </c>
      <c r="U19" s="187">
        <f>' Übersicht Umsätze '!U19/' Übersicht Reichweite all'!U19*1000</f>
        <v>0.41285956006768193</v>
      </c>
      <c r="V19" s="187">
        <f>' Übersicht Umsätze '!V19/' Übersicht Reichweite all'!V19*1000</f>
        <v>0.33799008562415506</v>
      </c>
      <c r="W19" s="187">
        <f>' Übersicht Umsätze '!W19/' Übersicht Reichweite all'!W19*1000</f>
        <v>0.45480067377877592</v>
      </c>
      <c r="X19" s="187">
        <f>' Übersicht Umsätze '!X19/' Übersicht Reichweite all'!X19*1000</f>
        <v>0.40398848684210531</v>
      </c>
      <c r="Y19" s="187">
        <f>' Übersicht Umsätze '!Y19/' Übersicht Reichweite all'!Y19*1000</f>
        <v>9.497336113041463E-2</v>
      </c>
      <c r="Z19" s="187">
        <f>' Übersicht Umsätze '!Z19/' Übersicht Reichweite all'!Z19*1000</f>
        <v>0.64653138272770183</v>
      </c>
      <c r="AA19" s="187">
        <f>' Übersicht Umsätze '!AA19/' Übersicht Reichweite all'!AA19*1000</f>
        <v>0.49588900308324763</v>
      </c>
      <c r="AB19" s="187">
        <f>' Übersicht Umsätze '!AB19/' Übersicht Reichweite all'!AB19*1000</f>
        <v>0.52608975735452013</v>
      </c>
      <c r="AC19" s="187">
        <f>' Übersicht Umsätze '!AC19/' Übersicht Reichweite all'!AC19*1000</f>
        <v>0.33491487580240026</v>
      </c>
      <c r="AD19" s="198">
        <f>' Übersicht Umsätze '!AD19/' Übersicht Reichweite all'!AD19*1000</f>
        <v>0.33307026150761487</v>
      </c>
      <c r="AE19" s="187">
        <f>' Übersicht Umsätze '!AE19/' Übersicht Reichweite all'!AE19*1000</f>
        <v>0.3168044077134986</v>
      </c>
      <c r="AF19" s="187">
        <f>' Übersicht Umsätze '!AF19/' Übersicht Reichweite all'!AF19*1000</f>
        <v>0.48375622480436331</v>
      </c>
      <c r="AG19" s="187">
        <f>' Übersicht Umsätze '!AG19/' Übersicht Reichweite all'!AG19*1000</f>
        <v>0.20559362844971293</v>
      </c>
      <c r="AH19" s="187">
        <f>' Übersicht Umsätze '!AH19/' Übersicht Reichweite all'!AH19*1000</f>
        <v>0.41787480811871064</v>
      </c>
      <c r="AI19" s="187">
        <f>' Übersicht Umsätze '!AI19/' Übersicht Reichweite all'!AI19*1000</f>
        <v>0.45193811924213456</v>
      </c>
      <c r="AJ19" s="187" t="e">
        <f>' Übersicht Umsätze '!AJ19/' Übersicht Reichweite all'!AJ19*1000</f>
        <v>#DIV/0!</v>
      </c>
      <c r="AK19" s="187" t="e">
        <f>' Übersicht Umsätze '!AK19/' Übersicht Reichweite all'!AK19*1000</f>
        <v>#DIV/0!</v>
      </c>
      <c r="AL19" s="187" t="e">
        <f>' Übersicht Umsätze '!AL19/' Übersicht Reichweite all'!AL19*1000</f>
        <v>#DIV/0!</v>
      </c>
      <c r="AM19" s="187" t="e">
        <f>' Übersicht Umsätze '!AM19/' Übersicht Reichweite all'!AM19*1000</f>
        <v>#DIV/0!</v>
      </c>
      <c r="AN19" s="187" t="e">
        <f>' Übersicht Umsätze '!AN19/' Übersicht Reichweite all'!AN19*1000</f>
        <v>#DIV/0!</v>
      </c>
      <c r="AO19" s="187" t="e">
        <f>' Übersicht Umsätze '!AO19/' Übersicht Reichweite all'!AO19*1000</f>
        <v>#DIV/0!</v>
      </c>
      <c r="AP19" s="187" t="e">
        <f>' Übersicht Umsätze '!AP19/' Übersicht Reichweite all'!AP19*1000</f>
        <v>#DIV/0!</v>
      </c>
      <c r="AQ19" s="198">
        <f>' Übersicht Umsätze '!AQ19/' Übersicht Reichweite all'!AQ19*1000</f>
        <v>0.37607593918429733</v>
      </c>
    </row>
    <row r="20" spans="1:43">
      <c r="A20" s="35"/>
      <c r="B20" s="128" t="s">
        <v>25</v>
      </c>
      <c r="C20" s="85" t="s">
        <v>109</v>
      </c>
      <c r="D20" s="86" t="s">
        <v>40</v>
      </c>
      <c r="E20" s="187">
        <f>' Übersicht Umsätze '!E20/' Übersicht Reichweite all'!E20*1000</f>
        <v>0</v>
      </c>
      <c r="F20" s="187">
        <f>' Übersicht Umsätze '!F20/' Übersicht Reichweite all'!F20*1000</f>
        <v>0</v>
      </c>
      <c r="G20" s="187">
        <f>' Übersicht Umsätze '!G20/' Übersicht Reichweite all'!G20*1000</f>
        <v>0.10642449182305154</v>
      </c>
      <c r="H20" s="187">
        <f>' Übersicht Umsätze '!H20/' Übersicht Reichweite all'!H20*1000</f>
        <v>0</v>
      </c>
      <c r="I20" s="187">
        <f>' Übersicht Umsätze '!I20/' Übersicht Reichweite all'!I20*1000</f>
        <v>0</v>
      </c>
      <c r="J20" s="187">
        <f>' Übersicht Umsätze '!J20/' Übersicht Reichweite all'!J20*1000</f>
        <v>0.15161852778409521</v>
      </c>
      <c r="K20" s="187">
        <f>' Übersicht Umsätze '!K20/' Übersicht Reichweite all'!K20*1000</f>
        <v>0.12088974854932302</v>
      </c>
      <c r="L20" s="187">
        <f>' Übersicht Umsätze '!L20/' Übersicht Reichweite all'!L20*1000</f>
        <v>0.16728002676480427</v>
      </c>
      <c r="M20" s="187">
        <f>' Übersicht Umsätze '!M20/' Übersicht Reichweite all'!M20*1000</f>
        <v>0.19942167713630471</v>
      </c>
      <c r="N20" s="187">
        <f>' Übersicht Umsätze '!N20/' Übersicht Reichweite all'!N20*1000</f>
        <v>0.21290185224611455</v>
      </c>
      <c r="O20" s="187">
        <f>' Übersicht Umsätze '!O20/' Übersicht Reichweite all'!O20*1000</f>
        <v>0.18878610534264678</v>
      </c>
      <c r="P20" s="187">
        <f>' Übersicht Umsätze '!P20/' Übersicht Reichweite all'!P20*1000</f>
        <v>1000</v>
      </c>
      <c r="Q20" s="198">
        <f>' Übersicht Umsätze '!Q20/' Übersicht Reichweite all'!Q20*1000</f>
        <v>9.3277723098396506E-2</v>
      </c>
      <c r="R20" s="187">
        <f>' Übersicht Umsätze '!R20/' Übersicht Reichweite all'!R20*1000</f>
        <v>0.100978325835981</v>
      </c>
      <c r="S20" s="187">
        <f>' Übersicht Umsätze '!S20/' Übersicht Reichweite all'!S20*1000</f>
        <v>8.34800386166165E-2</v>
      </c>
      <c r="T20" s="187">
        <f>' Übersicht Umsätze '!T20/' Übersicht Reichweite all'!T20*1000</f>
        <v>0.14329135909683022</v>
      </c>
      <c r="U20" s="187">
        <f>' Übersicht Umsätze '!U20/' Übersicht Reichweite all'!U20*1000</f>
        <v>0.14247704059737362</v>
      </c>
      <c r="V20" s="187">
        <f>' Übersicht Umsätze '!V20/' Übersicht Reichweite all'!V20*1000</f>
        <v>0.1264948019950724</v>
      </c>
      <c r="W20" s="187">
        <f>' Übersicht Umsätze '!W20/' Übersicht Reichweite all'!W20*1000</f>
        <v>0.1755452541986473</v>
      </c>
      <c r="X20" s="187">
        <f>' Übersicht Umsätze '!X20/' Übersicht Reichweite all'!X20*1000</f>
        <v>0.18782529984159316</v>
      </c>
      <c r="Y20" s="187">
        <f>' Übersicht Umsätze '!Y20/' Übersicht Reichweite all'!Y20*1000</f>
        <v>0.31257631257631258</v>
      </c>
      <c r="Z20" s="187">
        <f>' Übersicht Umsätze '!Z20/' Übersicht Reichweite all'!Z20*1000</f>
        <v>0.16483516483516483</v>
      </c>
      <c r="AA20" s="187">
        <f>' Übersicht Umsätze '!AA20/' Übersicht Reichweite all'!AA20*1000</f>
        <v>0.22017663888543351</v>
      </c>
      <c r="AB20" s="187">
        <f>' Übersicht Umsätze '!AB20/' Übersicht Reichweite all'!AB20*1000</f>
        <v>0.31584442704254762</v>
      </c>
      <c r="AC20" s="187">
        <f>' Übersicht Umsätze '!AC20/' Übersicht Reichweite all'!AC20*1000</f>
        <v>0.32977810469535368</v>
      </c>
      <c r="AD20" s="198">
        <f>' Übersicht Umsätze '!AD20/' Übersicht Reichweite all'!AD20*1000</f>
        <v>0.15859085786071625</v>
      </c>
      <c r="AE20" s="187">
        <f>' Übersicht Umsätze '!AE20/' Übersicht Reichweite all'!AE20*1000</f>
        <v>0.15621562156215621</v>
      </c>
      <c r="AF20" s="187">
        <f>' Übersicht Umsätze '!AF20/' Übersicht Reichweite all'!AF20*1000</f>
        <v>0.65907729179149199</v>
      </c>
      <c r="AG20" s="187">
        <f>' Übersicht Umsätze '!AG20/' Übersicht Reichweite all'!AG20*1000</f>
        <v>0.16593460224499756</v>
      </c>
      <c r="AH20" s="187">
        <f>' Übersicht Umsätze '!AH20/' Übersicht Reichweite all'!AH20*1000</f>
        <v>2.0718232044198892</v>
      </c>
      <c r="AI20" s="187">
        <f>' Übersicht Umsätze '!AI20/' Übersicht Reichweite all'!AI20*1000</f>
        <v>6.4044943820224711</v>
      </c>
      <c r="AJ20" s="187" t="e">
        <f>' Übersicht Umsätze '!AJ20/' Übersicht Reichweite all'!AJ20*1000</f>
        <v>#DIV/0!</v>
      </c>
      <c r="AK20" s="187" t="e">
        <f>' Übersicht Umsätze '!AK20/' Übersicht Reichweite all'!AK20*1000</f>
        <v>#DIV/0!</v>
      </c>
      <c r="AL20" s="187" t="e">
        <f>' Übersicht Umsätze '!AL20/' Übersicht Reichweite all'!AL20*1000</f>
        <v>#DIV/0!</v>
      </c>
      <c r="AM20" s="187" t="e">
        <f>' Übersicht Umsätze '!AM20/' Übersicht Reichweite all'!AM20*1000</f>
        <v>#DIV/0!</v>
      </c>
      <c r="AN20" s="187" t="e">
        <f>' Übersicht Umsätze '!AN20/' Übersicht Reichweite all'!AN20*1000</f>
        <v>#DIV/0!</v>
      </c>
      <c r="AO20" s="187" t="e">
        <f>' Übersicht Umsätze '!AO20/' Übersicht Reichweite all'!AO20*1000</f>
        <v>#DIV/0!</v>
      </c>
      <c r="AP20" s="187" t="e">
        <f>' Übersicht Umsätze '!AP20/' Übersicht Reichweite all'!AP20*1000</f>
        <v>#DIV/0!</v>
      </c>
      <c r="AQ20" s="198">
        <f>' Übersicht Umsätze '!AQ20/' Übersicht Reichweite all'!AQ20*1000</f>
        <v>0.39820977736974977</v>
      </c>
    </row>
    <row r="21" spans="1:43">
      <c r="A21" s="35"/>
      <c r="B21" s="38" t="s">
        <v>41</v>
      </c>
      <c r="C21" s="58" t="s">
        <v>108</v>
      </c>
      <c r="D21" s="33" t="s">
        <v>39</v>
      </c>
      <c r="E21" s="186">
        <f>' Übersicht Umsätze '!E21/' Übersicht Reichweite all'!E21*1000</f>
        <v>0.6834345106907046</v>
      </c>
      <c r="F21" s="186">
        <f>' Übersicht Umsätze '!F21/' Übersicht Reichweite all'!F21*1000</f>
        <v>0.75373676664113287</v>
      </c>
      <c r="G21" s="186">
        <f>' Übersicht Umsätze '!G21/' Übersicht Reichweite all'!G21*1000</f>
        <v>0.71251285826184618</v>
      </c>
      <c r="H21" s="186">
        <f>' Übersicht Umsätze '!H21/' Übersicht Reichweite all'!H21*1000</f>
        <v>0.86913867167036551</v>
      </c>
      <c r="I21" s="186">
        <f>' Übersicht Umsätze '!I21/' Übersicht Reichweite all'!I21*1000</f>
        <v>0.75250036492492611</v>
      </c>
      <c r="J21" s="186">
        <f>' Übersicht Umsätze '!J21/' Übersicht Reichweite all'!J21*1000</f>
        <v>0.72594143898305519</v>
      </c>
      <c r="K21" s="186">
        <f>' Übersicht Umsätze '!K21/' Übersicht Reichweite all'!K21*1000</f>
        <v>0.63129167132041941</v>
      </c>
      <c r="L21" s="186">
        <f>' Übersicht Umsätze '!L21/' Übersicht Reichweite all'!L21*1000</f>
        <v>0.58769380646737013</v>
      </c>
      <c r="M21" s="186">
        <f>' Übersicht Umsätze '!M21/' Übersicht Reichweite all'!M21*1000</f>
        <v>0.61029903804519714</v>
      </c>
      <c r="N21" s="186">
        <f>' Übersicht Umsätze '!N21/' Übersicht Reichweite all'!N21*1000</f>
        <v>0.63801845782120881</v>
      </c>
      <c r="O21" s="186">
        <f>' Übersicht Umsätze '!O21/' Übersicht Reichweite all'!O21*1000</f>
        <v>0.62803277912980693</v>
      </c>
      <c r="P21" s="186">
        <f>' Übersicht Umsätze '!P21/' Übersicht Reichweite all'!P21*1000</f>
        <v>0.51194156969596272</v>
      </c>
      <c r="Q21" s="197">
        <f>' Übersicht Umsätze '!Q21/' Übersicht Reichweite all'!Q21*1000</f>
        <v>0.67385512209194121</v>
      </c>
      <c r="R21" s="186">
        <f>' Übersicht Umsätze '!R21/' Übersicht Reichweite all'!R21*1000</f>
        <v>0.48038588018928502</v>
      </c>
      <c r="S21" s="186">
        <f>' Übersicht Umsätze '!S21/' Übersicht Reichweite all'!S21*1000</f>
        <v>0.4747603285175912</v>
      </c>
      <c r="T21" s="186">
        <f>' Übersicht Umsätze '!T21/' Übersicht Reichweite all'!T21*1000</f>
        <v>0.5260293928282731</v>
      </c>
      <c r="U21" s="186">
        <f>' Übersicht Umsätze '!U21/' Übersicht Reichweite all'!U21*1000</f>
        <v>0.59118503196395045</v>
      </c>
      <c r="V21" s="186">
        <f>' Übersicht Umsätze '!V21/' Übersicht Reichweite all'!V21*1000</f>
        <v>0.72080808139488628</v>
      </c>
      <c r="W21" s="186">
        <f>' Übersicht Umsätze '!W21/' Übersicht Reichweite all'!W21*1000</f>
        <v>0.69179161907311559</v>
      </c>
      <c r="X21" s="186">
        <f>' Übersicht Umsätze '!X21/' Übersicht Reichweite all'!X21*1000</f>
        <v>0.59184316089052569</v>
      </c>
      <c r="Y21" s="186">
        <f>' Übersicht Umsätze '!Y21/' Übersicht Reichweite all'!Y21*1000</f>
        <v>0.54682177446384883</v>
      </c>
      <c r="Z21" s="186">
        <f>' Übersicht Umsätze '!Z21/' Übersicht Reichweite all'!Z21*1000</f>
        <v>0.59111514088428918</v>
      </c>
      <c r="AA21" s="186">
        <f>' Übersicht Umsätze '!AA21/' Übersicht Reichweite all'!AA21*1000</f>
        <v>0.61876256414023501</v>
      </c>
      <c r="AB21" s="186">
        <f>' Übersicht Umsätze '!AB21/' Übersicht Reichweite all'!AB21*1000</f>
        <v>0.62479225746339773</v>
      </c>
      <c r="AC21" s="186">
        <f>' Übersicht Umsätze '!AC21/' Übersicht Reichweite all'!AC21*1000</f>
        <v>0.52338476999819228</v>
      </c>
      <c r="AD21" s="197">
        <f>' Übersicht Umsätze '!AD21/' Übersicht Reichweite all'!AD21*1000</f>
        <v>0.57794459921551999</v>
      </c>
      <c r="AE21" s="186">
        <f>' Übersicht Umsätze '!AE21/' Übersicht Reichweite all'!AE21*1000</f>
        <v>0.44660438201479596</v>
      </c>
      <c r="AF21" s="186">
        <f>' Übersicht Umsätze '!AF21/' Übersicht Reichweite all'!AF21*1000</f>
        <v>0.37819070589434789</v>
      </c>
      <c r="AG21" s="186">
        <f>' Übersicht Umsätze '!AG21/' Übersicht Reichweite all'!AG21*1000</f>
        <v>0.32774753960491931</v>
      </c>
      <c r="AH21" s="186">
        <f>' Übersicht Umsätze '!AH21/' Übersicht Reichweite all'!AH21*1000</f>
        <v>0.35772135006350203</v>
      </c>
      <c r="AI21" s="186">
        <f>' Übersicht Umsätze '!AI21/' Übersicht Reichweite all'!AI21*1000</f>
        <v>0.4280532719576769</v>
      </c>
      <c r="AJ21" s="186">
        <f>' Übersicht Umsätze '!AJ21/' Übersicht Reichweite all'!AJ21*1000</f>
        <v>0.42094382606705844</v>
      </c>
      <c r="AK21" s="186">
        <f>' Übersicht Umsätze '!AK21/' Übersicht Reichweite all'!AK21*1000</f>
        <v>0.48386094917610167</v>
      </c>
      <c r="AL21" s="186">
        <f>' Übersicht Umsätze '!AL21/' Übersicht Reichweite all'!AL21*1000</f>
        <v>0.59636209649291727</v>
      </c>
      <c r="AM21" s="186" t="e">
        <f>' Übersicht Umsätze '!AM21/' Übersicht Reichweite all'!AM21*1000</f>
        <v>#DIV/0!</v>
      </c>
      <c r="AN21" s="186" t="e">
        <f>' Übersicht Umsätze '!AN21/' Übersicht Reichweite all'!AN21*1000</f>
        <v>#DIV/0!</v>
      </c>
      <c r="AO21" s="186" t="e">
        <f>' Übersicht Umsätze '!AO21/' Übersicht Reichweite all'!AO21*1000</f>
        <v>#DIV/0!</v>
      </c>
      <c r="AP21" s="186" t="e">
        <f>' Übersicht Umsätze '!AP21/' Übersicht Reichweite all'!AP21*1000</f>
        <v>#DIV/0!</v>
      </c>
      <c r="AQ21" s="197">
        <f>' Übersicht Umsätze '!AQ21/' Übersicht Reichweite all'!AQ21*1000</f>
        <v>0.42276879879029461</v>
      </c>
    </row>
    <row r="22" spans="1:43">
      <c r="A22" s="35"/>
      <c r="B22" s="38" t="s">
        <v>41</v>
      </c>
      <c r="C22" s="58" t="s">
        <v>15</v>
      </c>
      <c r="D22" s="33" t="s">
        <v>39</v>
      </c>
      <c r="E22" s="186">
        <f>' Übersicht Umsätze '!E22/' Übersicht Reichweite all'!E22*1000</f>
        <v>5.686223830447144</v>
      </c>
      <c r="F22" s="186">
        <f>' Übersicht Umsätze '!F22/' Übersicht Reichweite all'!F22*1000</f>
        <v>8.8228465289064317</v>
      </c>
      <c r="G22" s="186">
        <f>' Übersicht Umsätze '!G22/' Übersicht Reichweite all'!G22*1000</f>
        <v>3.3911077618688772</v>
      </c>
      <c r="H22" s="186">
        <f>' Übersicht Umsätze '!H22/' Übersicht Reichweite all'!H22*1000</f>
        <v>2.7093339806835326</v>
      </c>
      <c r="I22" s="186">
        <f>' Übersicht Umsätze '!I22/' Übersicht Reichweite all'!I22*1000</f>
        <v>0</v>
      </c>
      <c r="J22" s="186">
        <f>' Übersicht Umsätze '!J22/' Übersicht Reichweite all'!J22*1000</f>
        <v>2.8383986517119819</v>
      </c>
      <c r="K22" s="186">
        <f>' Übersicht Umsätze '!K22/' Übersicht Reichweite all'!K22*1000</f>
        <v>3.2967423064858825</v>
      </c>
      <c r="L22" s="186">
        <f>' Übersicht Umsätze '!L22/' Übersicht Reichweite all'!L22*1000</f>
        <v>3.2028954894302952</v>
      </c>
      <c r="M22" s="186">
        <f>' Übersicht Umsätze '!M22/' Übersicht Reichweite all'!M22*1000</f>
        <v>3.2386362435623517</v>
      </c>
      <c r="N22" s="186">
        <f>' Übersicht Umsätze '!N22/' Übersicht Reichweite all'!N22*1000</f>
        <v>3.2556020216111836</v>
      </c>
      <c r="O22" s="186">
        <f>' Übersicht Umsätze '!O22/' Übersicht Reichweite all'!O22*1000</f>
        <v>3.0242923115364913</v>
      </c>
      <c r="P22" s="186">
        <f>' Übersicht Umsätze '!P22/' Übersicht Reichweite all'!P22*1000</f>
        <v>1.6923834417249692</v>
      </c>
      <c r="Q22" s="197">
        <f>' Übersicht Umsätze '!Q22/' Übersicht Reichweite all'!Q22*1000</f>
        <v>2.5153011250087269</v>
      </c>
      <c r="R22" s="186">
        <f>' Übersicht Umsätze '!R22/' Übersicht Reichweite all'!R22*1000</f>
        <v>2.1397750583575017</v>
      </c>
      <c r="S22" s="186">
        <f>' Übersicht Umsätze '!S22/' Übersicht Reichweite all'!S22*1000</f>
        <v>2.3637773737386629</v>
      </c>
      <c r="T22" s="186">
        <f>' Übersicht Umsätze '!T22/' Übersicht Reichweite all'!T22*1000</f>
        <v>2.3562869602536463</v>
      </c>
      <c r="U22" s="186">
        <f>' Übersicht Umsätze '!U22/' Übersicht Reichweite all'!U22*1000</f>
        <v>2.1189583614213969</v>
      </c>
      <c r="V22" s="186">
        <f>' Übersicht Umsätze '!V22/' Übersicht Reichweite all'!V22*1000</f>
        <v>2.3365837340319766</v>
      </c>
      <c r="W22" s="186">
        <f>' Übersicht Umsätze '!W22/' Übersicht Reichweite all'!W22*1000</f>
        <v>2.2051198176450968</v>
      </c>
      <c r="X22" s="186">
        <f>' Übersicht Umsätze '!X22/' Übersicht Reichweite all'!X22*1000</f>
        <v>2.0386820875201423</v>
      </c>
      <c r="Y22" s="186">
        <f>' Übersicht Umsätze '!Y22/' Übersicht Reichweite all'!Y22*1000</f>
        <v>1.9046776863180892</v>
      </c>
      <c r="Z22" s="186">
        <f>' Übersicht Umsätze '!Z22/' Übersicht Reichweite all'!Z22*1000</f>
        <v>2.2886263045357684</v>
      </c>
      <c r="AA22" s="186">
        <f>' Übersicht Umsätze '!AA22/' Übersicht Reichweite all'!AA22*1000</f>
        <v>2.1866023997149169</v>
      </c>
      <c r="AB22" s="186">
        <f>' Übersicht Umsätze '!AB22/' Übersicht Reichweite all'!AB22*1000</f>
        <v>1.9447309063938307</v>
      </c>
      <c r="AC22" s="186">
        <f>' Übersicht Umsätze '!AC22/' Übersicht Reichweite all'!AC22*1000</f>
        <v>1.8156131607719495</v>
      </c>
      <c r="AD22" s="197">
        <f>' Übersicht Umsätze '!AD22/' Übersicht Reichweite all'!AD22*1000</f>
        <v>2.2045230088774876</v>
      </c>
      <c r="AE22" s="186">
        <f>' Übersicht Umsätze '!AE22/' Übersicht Reichweite all'!AE22*1000</f>
        <v>1.4436229525227688</v>
      </c>
      <c r="AF22" s="186">
        <f>' Übersicht Umsätze '!AF22/' Übersicht Reichweite all'!AF22*1000</f>
        <v>1.6590704197135127</v>
      </c>
      <c r="AG22" s="186">
        <f>' Übersicht Umsätze '!AG22/' Übersicht Reichweite all'!AG22*1000</f>
        <v>1.8336109003007559</v>
      </c>
      <c r="AH22" s="186">
        <f>' Übersicht Umsätze '!AH22/' Übersicht Reichweite all'!AH22*1000</f>
        <v>1.6313995707331554</v>
      </c>
      <c r="AI22" s="186">
        <f>' Übersicht Umsätze '!AI22/' Übersicht Reichweite all'!AI22*1000</f>
        <v>1.5302323374833955</v>
      </c>
      <c r="AJ22" s="186">
        <f>' Übersicht Umsätze '!AJ22/' Übersicht Reichweite all'!AJ22*1000</f>
        <v>1.4405553683934529</v>
      </c>
      <c r="AK22" s="186">
        <f>' Übersicht Umsätze '!AK22/' Übersicht Reichweite all'!AK22*1000</f>
        <v>1.3196635484305723</v>
      </c>
      <c r="AL22" s="186">
        <f>' Übersicht Umsätze '!AL22/' Übersicht Reichweite all'!AL22*1000</f>
        <v>1.3618220933348042</v>
      </c>
      <c r="AM22" s="186" t="e">
        <f>' Übersicht Umsätze '!AM22/' Übersicht Reichweite all'!AM22*1000</f>
        <v>#DIV/0!</v>
      </c>
      <c r="AN22" s="186" t="e">
        <f>' Übersicht Umsätze '!AN22/' Übersicht Reichweite all'!AN22*1000</f>
        <v>#DIV/0!</v>
      </c>
      <c r="AO22" s="186" t="e">
        <f>' Übersicht Umsätze '!AO22/' Übersicht Reichweite all'!AO22*1000</f>
        <v>#DIV/0!</v>
      </c>
      <c r="AP22" s="186" t="e">
        <f>' Übersicht Umsätze '!AP22/' Übersicht Reichweite all'!AP22*1000</f>
        <v>#DIV/0!</v>
      </c>
      <c r="AQ22" s="197">
        <f>' Übersicht Umsätze '!AQ22/' Übersicht Reichweite all'!AQ22*1000</f>
        <v>1.5041247898914996</v>
      </c>
    </row>
    <row r="23" spans="1:43">
      <c r="A23" s="35"/>
      <c r="B23" s="67" t="s">
        <v>30</v>
      </c>
      <c r="C23" s="85" t="s">
        <v>108</v>
      </c>
      <c r="D23" s="86" t="s">
        <v>40</v>
      </c>
      <c r="E23" s="187">
        <f>' Übersicht Umsätze '!E23/' Übersicht Reichweite all'!E23*1000</f>
        <v>0.11755118560538612</v>
      </c>
      <c r="F23" s="187">
        <f>' Übersicht Umsätze '!F23/' Übersicht Reichweite all'!F23*1000</f>
        <v>0.10929606395381114</v>
      </c>
      <c r="G23" s="187">
        <f>' Übersicht Umsätze '!G23/' Übersicht Reichweite all'!G23*1000</f>
        <v>9.4569191202758654E-2</v>
      </c>
      <c r="H23" s="187">
        <f>' Übersicht Umsätze '!H23/' Übersicht Reichweite all'!H23*1000</f>
        <v>0.10348998973506852</v>
      </c>
      <c r="I23" s="187">
        <f>' Übersicht Umsätze '!I23/' Übersicht Reichweite all'!I23*1000</f>
        <v>0.11432754009926696</v>
      </c>
      <c r="J23" s="187">
        <f>' Übersicht Umsätze '!J23/' Übersicht Reichweite all'!J23*1000</f>
        <v>0.33051926438515272</v>
      </c>
      <c r="K23" s="187">
        <f>' Übersicht Umsätze '!K23/' Übersicht Reichweite all'!K23*1000</f>
        <v>0.34607118137772758</v>
      </c>
      <c r="L23" s="187">
        <f>' Übersicht Umsätze '!L23/' Übersicht Reichweite all'!L23*1000</f>
        <v>0.18773878281149559</v>
      </c>
      <c r="M23" s="187">
        <f>' Übersicht Umsätze '!M23/' Übersicht Reichweite all'!M23*1000</f>
        <v>0.26663358375022572</v>
      </c>
      <c r="N23" s="187">
        <f>' Übersicht Umsätze '!N23/' Übersicht Reichweite all'!N23*1000</f>
        <v>0.32944333958909633</v>
      </c>
      <c r="O23" s="187">
        <f>' Übersicht Umsätze '!O23/' Übersicht Reichweite all'!O23*1000</f>
        <v>0.30565105941027121</v>
      </c>
      <c r="P23" s="187">
        <f>' Übersicht Umsätze '!P23/' Übersicht Reichweite all'!P23*1000</f>
        <v>0.89333231962289972</v>
      </c>
      <c r="Q23" s="198">
        <f>' Übersicht Umsätze '!Q23/' Übersicht Reichweite all'!Q23*1000</f>
        <v>0.25267069845814666</v>
      </c>
      <c r="R23" s="187">
        <f>' Übersicht Umsätze '!R23/' Übersicht Reichweite all'!R23*1000</f>
        <v>6.3971198497622506E-2</v>
      </c>
      <c r="S23" s="187">
        <f>' Übersicht Umsätze '!S23/' Übersicht Reichweite all'!S23*1000</f>
        <v>9.598696497015706E-2</v>
      </c>
      <c r="T23" s="187">
        <f>' Übersicht Umsätze '!T23/' Übersicht Reichweite all'!T23*1000</f>
        <v>8.5063652508755333E-2</v>
      </c>
      <c r="U23" s="187">
        <f>' Übersicht Umsätze '!U23/' Übersicht Reichweite all'!U23*1000</f>
        <v>8.9068080671929589E-2</v>
      </c>
      <c r="V23" s="187">
        <f>' Übersicht Umsätze '!V23/' Übersicht Reichweite all'!V23*1000</f>
        <v>9.7843860015542114E-2</v>
      </c>
      <c r="W23" s="187">
        <f>' Übersicht Umsätze '!W23/' Übersicht Reichweite all'!W23*1000</f>
        <v>7.4890423485636806E-2</v>
      </c>
      <c r="X23" s="187">
        <f>' Übersicht Umsätze '!X23/' Übersicht Reichweite all'!X23*1000</f>
        <v>5.7362473469856019E-2</v>
      </c>
      <c r="Y23" s="187">
        <f>' Übersicht Umsätze '!Y23/' Übersicht Reichweite all'!Y23*1000</f>
        <v>4.5477579553280238E-2</v>
      </c>
      <c r="Z23" s="187" t="e">
        <f>' Übersicht Umsätze '!Z23/' Übersicht Reichweite all'!Z23*1000</f>
        <v>#DIV/0!</v>
      </c>
      <c r="AA23" s="187" t="e">
        <f>' Übersicht Umsätze '!AA23/' Übersicht Reichweite all'!AA23*1000</f>
        <v>#DIV/0!</v>
      </c>
      <c r="AB23" s="187" t="e">
        <f>' Übersicht Umsätze '!AB23/' Übersicht Reichweite all'!AB23*1000</f>
        <v>#DIV/0!</v>
      </c>
      <c r="AC23" s="187" t="e">
        <f>' Übersicht Umsätze '!AC23/' Übersicht Reichweite all'!AC23*1000</f>
        <v>#DIV/0!</v>
      </c>
      <c r="AD23" s="198">
        <f>' Übersicht Umsätze '!AD23/' Übersicht Reichweite all'!AD23*1000</f>
        <v>7.8695202678722972E-2</v>
      </c>
      <c r="AE23" s="187" t="e">
        <f>' Übersicht Umsätze '!AE23/' Übersicht Reichweite all'!AE23*1000</f>
        <v>#DIV/0!</v>
      </c>
      <c r="AF23" s="187" t="e">
        <f>' Übersicht Umsätze '!AF23/' Übersicht Reichweite all'!AF23*1000</f>
        <v>#DIV/0!</v>
      </c>
      <c r="AG23" s="187" t="e">
        <f>' Übersicht Umsätze '!AG23/' Übersicht Reichweite all'!AG23*1000</f>
        <v>#DIV/0!</v>
      </c>
      <c r="AH23" s="187" t="e">
        <f>' Übersicht Umsätze '!AH23/' Übersicht Reichweite all'!AH23*1000</f>
        <v>#DIV/0!</v>
      </c>
      <c r="AI23" s="187" t="e">
        <f>' Übersicht Umsätze '!AI23/' Übersicht Reichweite all'!AI23*1000</f>
        <v>#DIV/0!</v>
      </c>
      <c r="AJ23" s="187" t="e">
        <f>' Übersicht Umsätze '!AJ23/' Übersicht Reichweite all'!AJ23*1000</f>
        <v>#DIV/0!</v>
      </c>
      <c r="AK23" s="187" t="e">
        <f>' Übersicht Umsätze '!AK23/' Übersicht Reichweite all'!AK23*1000</f>
        <v>#DIV/0!</v>
      </c>
      <c r="AL23" s="187" t="e">
        <f>' Übersicht Umsätze '!AL23/' Übersicht Reichweite all'!AL23*1000</f>
        <v>#DIV/0!</v>
      </c>
      <c r="AM23" s="187" t="e">
        <f>' Übersicht Umsätze '!AM23/' Übersicht Reichweite all'!AM23*1000</f>
        <v>#DIV/0!</v>
      </c>
      <c r="AN23" s="187" t="e">
        <f>' Übersicht Umsätze '!AN23/' Übersicht Reichweite all'!AN23*1000</f>
        <v>#DIV/0!</v>
      </c>
      <c r="AO23" s="187" t="e">
        <f>' Übersicht Umsätze '!AO23/' Übersicht Reichweite all'!AO23*1000</f>
        <v>#DIV/0!</v>
      </c>
      <c r="AP23" s="187" t="e">
        <f>' Übersicht Umsätze '!AP23/' Übersicht Reichweite all'!AP23*1000</f>
        <v>#DIV/0!</v>
      </c>
      <c r="AQ23" s="198" t="e">
        <f>' Übersicht Umsätze '!AQ23/' Übersicht Reichweite all'!AQ23*1000</f>
        <v>#DIV/0!</v>
      </c>
    </row>
    <row r="24" spans="1:43">
      <c r="A24" s="35"/>
      <c r="B24" s="67" t="s">
        <v>30</v>
      </c>
      <c r="C24" s="85" t="s">
        <v>15</v>
      </c>
      <c r="D24" s="86" t="s">
        <v>40</v>
      </c>
      <c r="E24" s="187">
        <f>' Übersicht Umsätze '!E24/' Übersicht Reichweite all'!E24*1000</f>
        <v>0.14100079613864164</v>
      </c>
      <c r="F24" s="187">
        <f>' Übersicht Umsätze '!F24/' Übersicht Reichweite all'!F24*1000</f>
        <v>0.12532140010757928</v>
      </c>
      <c r="G24" s="187">
        <f>' Übersicht Umsätze '!G24/' Übersicht Reichweite all'!G24*1000</f>
        <v>0.13420455482871682</v>
      </c>
      <c r="H24" s="187">
        <f>' Übersicht Umsätze '!H24/' Übersicht Reichweite all'!H24*1000</f>
        <v>0.15122612550707182</v>
      </c>
      <c r="I24" s="187">
        <f>' Übersicht Umsätze '!I24/' Übersicht Reichweite all'!I24*1000</f>
        <v>0.14002206915000334</v>
      </c>
      <c r="J24" s="187">
        <f>' Übersicht Umsätze '!J24/' Übersicht Reichweite all'!J24*1000</f>
        <v>0.15426995671156446</v>
      </c>
      <c r="K24" s="187">
        <f>' Übersicht Umsätze '!K24/' Übersicht Reichweite all'!K24*1000</f>
        <v>0.12579682183780683</v>
      </c>
      <c r="L24" s="187">
        <f>' Übersicht Umsätze '!L24/' Übersicht Reichweite all'!L24*1000</f>
        <v>0.15138714033031336</v>
      </c>
      <c r="M24" s="187">
        <f>' Übersicht Umsätze '!M24/' Übersicht Reichweite all'!M24*1000</f>
        <v>0.17193423075568909</v>
      </c>
      <c r="N24" s="187">
        <f>' Übersicht Umsätze '!N24/' Übersicht Reichweite all'!N24*1000</f>
        <v>0.22350914938325966</v>
      </c>
      <c r="O24" s="187">
        <f>' Übersicht Umsätze '!O24/' Übersicht Reichweite all'!O24*1000</f>
        <v>0.20340672739810386</v>
      </c>
      <c r="P24" s="187">
        <f>' Übersicht Umsätze '!P24/' Übersicht Reichweite all'!P24*1000</f>
        <v>0.15550918907478933</v>
      </c>
      <c r="Q24" s="198">
        <f>' Übersicht Umsätze '!Q24/' Übersicht Reichweite all'!Q24*1000</f>
        <v>0.16274020266496608</v>
      </c>
      <c r="R24" s="187">
        <f>' Übersicht Umsätze '!R24/' Übersicht Reichweite all'!R24*1000</f>
        <v>8.1813782237828134E-2</v>
      </c>
      <c r="S24" s="187">
        <f>' Übersicht Umsätze '!S24/' Übersicht Reichweite all'!S24*1000</f>
        <v>0.13829473701424863</v>
      </c>
      <c r="T24" s="187">
        <f>' Übersicht Umsätze '!T24/' Übersicht Reichweite all'!T24*1000</f>
        <v>0.17785653126869891</v>
      </c>
      <c r="U24" s="187">
        <f>' Übersicht Umsätze '!U24/' Übersicht Reichweite all'!U24*1000</f>
        <v>0.13354374075925007</v>
      </c>
      <c r="V24" s="187">
        <f>' Übersicht Umsätze '!V24/' Übersicht Reichweite all'!V24*1000</f>
        <v>9.6907472335223968E-2</v>
      </c>
      <c r="W24" s="187">
        <f>' Übersicht Umsätze '!W24/' Übersicht Reichweite all'!W24*1000</f>
        <v>0.13701837660018434</v>
      </c>
      <c r="X24" s="187">
        <f>' Übersicht Umsätze '!X24/' Übersicht Reichweite all'!X24*1000</f>
        <v>8.6834991806819084E-2</v>
      </c>
      <c r="Y24" s="187">
        <f>' Übersicht Umsätze '!Y24/' Übersicht Reichweite all'!Y24*1000</f>
        <v>9.526324236729157E-2</v>
      </c>
      <c r="Z24" s="187" t="e">
        <f>' Übersicht Umsätze '!Z24/' Übersicht Reichweite all'!Z24*1000</f>
        <v>#DIV/0!</v>
      </c>
      <c r="AA24" s="187" t="e">
        <f>' Übersicht Umsätze '!AA24/' Übersicht Reichweite all'!AA24*1000</f>
        <v>#DIV/0!</v>
      </c>
      <c r="AB24" s="187" t="e">
        <f>' Übersicht Umsätze '!AB24/' Übersicht Reichweite all'!AB24*1000</f>
        <v>#DIV/0!</v>
      </c>
      <c r="AC24" s="187" t="e">
        <f>' Übersicht Umsätze '!AC24/' Übersicht Reichweite all'!AC24*1000</f>
        <v>#DIV/0!</v>
      </c>
      <c r="AD24" s="198">
        <f>' Übersicht Umsätze '!AD24/' Übersicht Reichweite all'!AD24*1000</f>
        <v>0.11688951213405439</v>
      </c>
      <c r="AE24" s="187" t="e">
        <f>' Übersicht Umsätze '!AE24/' Übersicht Reichweite all'!AE24*1000</f>
        <v>#DIV/0!</v>
      </c>
      <c r="AF24" s="187" t="e">
        <f>' Übersicht Umsätze '!AF24/' Übersicht Reichweite all'!AF24*1000</f>
        <v>#DIV/0!</v>
      </c>
      <c r="AG24" s="187" t="e">
        <f>' Übersicht Umsätze '!AG24/' Übersicht Reichweite all'!AG24*1000</f>
        <v>#DIV/0!</v>
      </c>
      <c r="AH24" s="187" t="e">
        <f>' Übersicht Umsätze '!AH24/' Übersicht Reichweite all'!AH24*1000</f>
        <v>#DIV/0!</v>
      </c>
      <c r="AI24" s="187" t="e">
        <f>' Übersicht Umsätze '!AI24/' Übersicht Reichweite all'!AI24*1000</f>
        <v>#DIV/0!</v>
      </c>
      <c r="AJ24" s="187" t="e">
        <f>' Übersicht Umsätze '!AJ24/' Übersicht Reichweite all'!AJ24*1000</f>
        <v>#DIV/0!</v>
      </c>
      <c r="AK24" s="187" t="e">
        <f>' Übersicht Umsätze '!AK24/' Übersicht Reichweite all'!AK24*1000</f>
        <v>#DIV/0!</v>
      </c>
      <c r="AL24" s="187" t="e">
        <f>' Übersicht Umsätze '!AL24/' Übersicht Reichweite all'!AL24*1000</f>
        <v>#DIV/0!</v>
      </c>
      <c r="AM24" s="187" t="e">
        <f>' Übersicht Umsätze '!AM24/' Übersicht Reichweite all'!AM24*1000</f>
        <v>#DIV/0!</v>
      </c>
      <c r="AN24" s="187" t="e">
        <f>' Übersicht Umsätze '!AN24/' Übersicht Reichweite all'!AN24*1000</f>
        <v>#DIV/0!</v>
      </c>
      <c r="AO24" s="187" t="e">
        <f>' Übersicht Umsätze '!AO24/' Übersicht Reichweite all'!AO24*1000</f>
        <v>#DIV/0!</v>
      </c>
      <c r="AP24" s="187" t="e">
        <f>' Übersicht Umsätze '!AP24/' Übersicht Reichweite all'!AP24*1000</f>
        <v>#DIV/0!</v>
      </c>
      <c r="AQ24" s="198" t="e">
        <f>' Übersicht Umsätze '!AQ24/' Übersicht Reichweite all'!AQ24*1000</f>
        <v>#DIV/0!</v>
      </c>
    </row>
    <row r="25" spans="1:43">
      <c r="A25" s="35"/>
      <c r="B25" s="67" t="s">
        <v>30</v>
      </c>
      <c r="C25" s="85" t="s">
        <v>109</v>
      </c>
      <c r="D25" s="86" t="s">
        <v>40</v>
      </c>
      <c r="E25" s="187">
        <f>' Übersicht Umsätze '!E25/' Übersicht Reichweite all'!E25*1000</f>
        <v>0.23714407367698342</v>
      </c>
      <c r="F25" s="187">
        <f>' Übersicht Umsätze '!F25/' Übersicht Reichweite all'!F25*1000</f>
        <v>0.20301115335615741</v>
      </c>
      <c r="G25" s="187">
        <f>' Übersicht Umsätze '!G25/' Übersicht Reichweite all'!G25*1000</f>
        <v>0.14622632821783033</v>
      </c>
      <c r="H25" s="187">
        <f>' Übersicht Umsätze '!H25/' Übersicht Reichweite all'!H25*1000</f>
        <v>0.14796665527903682</v>
      </c>
      <c r="I25" s="187">
        <f>' Übersicht Umsätze '!I25/' Übersicht Reichweite all'!I25*1000</f>
        <v>0.16652026019303764</v>
      </c>
      <c r="J25" s="187">
        <f>' Übersicht Umsätze '!J25/' Übersicht Reichweite all'!J25*1000</f>
        <v>0.18334910186328335</v>
      </c>
      <c r="K25" s="187">
        <f>' Übersicht Umsätze '!K25/' Übersicht Reichweite all'!K25*1000</f>
        <v>0.24005768686619749</v>
      </c>
      <c r="L25" s="187">
        <f>' Übersicht Umsätze '!L25/' Übersicht Reichweite all'!L25*1000</f>
        <v>0.2358900939006062</v>
      </c>
      <c r="M25" s="187">
        <f>' Übersicht Umsätze '!M25/' Übersicht Reichweite all'!M25*1000</f>
        <v>0.24582590543432786</v>
      </c>
      <c r="N25" s="187">
        <f>' Übersicht Umsätze '!N25/' Übersicht Reichweite all'!N25*1000</f>
        <v>0.30617911187451891</v>
      </c>
      <c r="O25" s="187">
        <f>' Übersicht Umsätze '!O25/' Übersicht Reichweite all'!O25*1000</f>
        <v>0.17513204977627989</v>
      </c>
      <c r="P25" s="187">
        <f>' Übersicht Umsätze '!P25/' Übersicht Reichweite all'!P25*1000</f>
        <v>0.10437604937070637</v>
      </c>
      <c r="Q25" s="198">
        <f>' Übersicht Umsätze '!Q25/' Übersicht Reichweite all'!Q25*1000</f>
        <v>0.19027693027717105</v>
      </c>
      <c r="R25" s="187">
        <f>' Übersicht Umsätze '!R25/' Übersicht Reichweite all'!R25*1000</f>
        <v>3.6297828871293084E-2</v>
      </c>
      <c r="S25" s="187">
        <f>' Übersicht Umsätze '!S25/' Übersicht Reichweite all'!S25*1000</f>
        <v>2.1081056662868729E-2</v>
      </c>
      <c r="T25" s="187">
        <f>' Übersicht Umsätze '!T25/' Übersicht Reichweite all'!T25*1000</f>
        <v>5.7663934589214066E-2</v>
      </c>
      <c r="U25" s="187">
        <f>' Übersicht Umsätze '!U25/' Übersicht Reichweite all'!U25*1000</f>
        <v>5.241676218165553E-2</v>
      </c>
      <c r="V25" s="187">
        <f>' Übersicht Umsätze '!V25/' Übersicht Reichweite all'!V25*1000</f>
        <v>9.1098617918784014E-2</v>
      </c>
      <c r="W25" s="187">
        <f>' Übersicht Umsätze '!W25/' Übersicht Reichweite all'!W25*1000</f>
        <v>3.9900453009329283E-2</v>
      </c>
      <c r="X25" s="187">
        <f>' Übersicht Umsätze '!X25/' Übersicht Reichweite all'!X25*1000</f>
        <v>4.5143833268775795E-2</v>
      </c>
      <c r="Y25" s="187">
        <f>' Übersicht Umsätze '!Y25/' Übersicht Reichweite all'!Y25*1000</f>
        <v>6.5956292963196383E-2</v>
      </c>
      <c r="Z25" s="187" t="e">
        <f>' Übersicht Umsätze '!Z25/' Übersicht Reichweite all'!Z25*1000</f>
        <v>#DIV/0!</v>
      </c>
      <c r="AA25" s="187" t="e">
        <f>' Übersicht Umsätze '!AA25/' Übersicht Reichweite all'!AA25*1000</f>
        <v>#DIV/0!</v>
      </c>
      <c r="AB25" s="187" t="e">
        <f>' Übersicht Umsätze '!AB25/' Übersicht Reichweite all'!AB25*1000</f>
        <v>#DIV/0!</v>
      </c>
      <c r="AC25" s="187" t="e">
        <f>' Übersicht Umsätze '!AC25/' Übersicht Reichweite all'!AC25*1000</f>
        <v>#DIV/0!</v>
      </c>
      <c r="AD25" s="198">
        <f>' Übersicht Umsätze '!AD25/' Übersicht Reichweite all'!AD25*1000</f>
        <v>4.4939707586880047E-2</v>
      </c>
      <c r="AE25" s="187" t="e">
        <f>' Übersicht Umsätze '!AE25/' Übersicht Reichweite all'!AE25*1000</f>
        <v>#DIV/0!</v>
      </c>
      <c r="AF25" s="187" t="e">
        <f>' Übersicht Umsätze '!AF25/' Übersicht Reichweite all'!AF25*1000</f>
        <v>#DIV/0!</v>
      </c>
      <c r="AG25" s="187" t="e">
        <f>' Übersicht Umsätze '!AG25/' Übersicht Reichweite all'!AG25*1000</f>
        <v>#DIV/0!</v>
      </c>
      <c r="AH25" s="187" t="e">
        <f>' Übersicht Umsätze '!AH25/' Übersicht Reichweite all'!AH25*1000</f>
        <v>#DIV/0!</v>
      </c>
      <c r="AI25" s="187" t="e">
        <f>' Übersicht Umsätze '!AI25/' Übersicht Reichweite all'!AI25*1000</f>
        <v>#DIV/0!</v>
      </c>
      <c r="AJ25" s="187" t="e">
        <f>' Übersicht Umsätze '!AJ25/' Übersicht Reichweite all'!AJ25*1000</f>
        <v>#DIV/0!</v>
      </c>
      <c r="AK25" s="187" t="e">
        <f>' Übersicht Umsätze '!AK25/' Übersicht Reichweite all'!AK25*1000</f>
        <v>#DIV/0!</v>
      </c>
      <c r="AL25" s="187" t="e">
        <f>' Übersicht Umsätze '!AL25/' Übersicht Reichweite all'!AL25*1000</f>
        <v>#DIV/0!</v>
      </c>
      <c r="AM25" s="187" t="e">
        <f>' Übersicht Umsätze '!AM25/' Übersicht Reichweite all'!AM25*1000</f>
        <v>#DIV/0!</v>
      </c>
      <c r="AN25" s="187" t="e">
        <f>' Übersicht Umsätze '!AN25/' Übersicht Reichweite all'!AN25*1000</f>
        <v>#DIV/0!</v>
      </c>
      <c r="AO25" s="187" t="e">
        <f>' Übersicht Umsätze '!AO25/' Übersicht Reichweite all'!AO25*1000</f>
        <v>#DIV/0!</v>
      </c>
      <c r="AP25" s="187" t="e">
        <f>' Übersicht Umsätze '!AP25/' Übersicht Reichweite all'!AP25*1000</f>
        <v>#DIV/0!</v>
      </c>
      <c r="AQ25" s="198" t="e">
        <f>' Übersicht Umsätze '!AQ25/' Übersicht Reichweite all'!AQ25*1000</f>
        <v>#DIV/0!</v>
      </c>
    </row>
    <row r="26" spans="1:43">
      <c r="A26" s="35"/>
      <c r="B26" s="38" t="s">
        <v>3</v>
      </c>
      <c r="C26" s="58" t="s">
        <v>108</v>
      </c>
      <c r="D26" s="33" t="s">
        <v>39</v>
      </c>
      <c r="E26" s="186" t="e">
        <f>' Übersicht Umsätze '!E26/' Übersicht Reichweite all'!E26*1000</f>
        <v>#DIV/0!</v>
      </c>
      <c r="F26" s="186" t="e">
        <f>' Übersicht Umsätze '!F26/' Übersicht Reichweite all'!F26*1000</f>
        <v>#DIV/0!</v>
      </c>
      <c r="G26" s="186" t="e">
        <f>' Übersicht Umsätze '!G26/' Übersicht Reichweite all'!G26*1000</f>
        <v>#DIV/0!</v>
      </c>
      <c r="H26" s="186" t="e">
        <f>' Übersicht Umsätze '!H26/' Übersicht Reichweite all'!H26*1000</f>
        <v>#DIV/0!</v>
      </c>
      <c r="I26" s="186" t="e">
        <f>' Übersicht Umsätze '!I26/' Übersicht Reichweite all'!I26*1000</f>
        <v>#DIV/0!</v>
      </c>
      <c r="J26" s="186" t="e">
        <f>' Übersicht Umsätze '!J26/' Übersicht Reichweite all'!J26*1000</f>
        <v>#DIV/0!</v>
      </c>
      <c r="K26" s="186" t="e">
        <f>' Übersicht Umsätze '!K26/' Übersicht Reichweite all'!K26*1000</f>
        <v>#DIV/0!</v>
      </c>
      <c r="L26" s="186">
        <f>' Übersicht Umsätze '!L26/' Übersicht Reichweite all'!L26*1000</f>
        <v>7.4250922301939054E-2</v>
      </c>
      <c r="M26" s="186" t="e">
        <f>' Übersicht Umsätze '!M26/' Übersicht Reichweite all'!M26*1000</f>
        <v>#DIV/0!</v>
      </c>
      <c r="N26" s="186">
        <f>' Übersicht Umsätze '!N26/' Übersicht Reichweite all'!N26*1000</f>
        <v>9.6472135594208419E-2</v>
      </c>
      <c r="O26" s="186">
        <f>' Übersicht Umsätze '!O26/' Übersicht Reichweite all'!O26*1000</f>
        <v>6.7584275151899839E-2</v>
      </c>
      <c r="P26" s="186" t="e">
        <f>' Übersicht Umsätze '!P26/' Übersicht Reichweite all'!P26*1000</f>
        <v>#DIV/0!</v>
      </c>
      <c r="Q26" s="197">
        <f>' Übersicht Umsätze '!Q26/' Übersicht Reichweite all'!Q26*1000</f>
        <v>0.46032838121841091</v>
      </c>
      <c r="R26" s="186" t="e">
        <f>' Übersicht Umsätze '!R26/' Übersicht Reichweite all'!R26*1000</f>
        <v>#DIV/0!</v>
      </c>
      <c r="S26" s="186" t="e">
        <f>' Übersicht Umsätze '!S26/' Übersicht Reichweite all'!S26*1000</f>
        <v>#DIV/0!</v>
      </c>
      <c r="T26" s="186" t="e">
        <f>' Übersicht Umsätze '!T26/' Übersicht Reichweite all'!T26*1000</f>
        <v>#DIV/0!</v>
      </c>
      <c r="U26" s="186" t="e">
        <f>' Übersicht Umsätze '!U26/' Übersicht Reichweite all'!U26*1000</f>
        <v>#DIV/0!</v>
      </c>
      <c r="V26" s="186" t="e">
        <f>' Übersicht Umsätze '!V26/' Übersicht Reichweite all'!V26*1000</f>
        <v>#DIV/0!</v>
      </c>
      <c r="W26" s="186">
        <f>' Übersicht Umsätze '!W26/' Übersicht Reichweite all'!W26*1000</f>
        <v>0</v>
      </c>
      <c r="X26" s="186">
        <f>' Übersicht Umsätze '!X26/' Übersicht Reichweite all'!X26*1000</f>
        <v>0</v>
      </c>
      <c r="Y26" s="186">
        <f>' Übersicht Umsätze '!Y26/' Übersicht Reichweite all'!Y26*1000</f>
        <v>0</v>
      </c>
      <c r="Z26" s="186">
        <f>' Übersicht Umsätze '!Z26/' Übersicht Reichweite all'!Z26*1000</f>
        <v>0</v>
      </c>
      <c r="AA26" s="186">
        <f>' Übersicht Umsätze '!AA26/' Übersicht Reichweite all'!AA26*1000</f>
        <v>0</v>
      </c>
      <c r="AB26" s="186">
        <f>' Übersicht Umsätze '!AB26/' Übersicht Reichweite all'!AB26*1000</f>
        <v>0</v>
      </c>
      <c r="AC26" s="186">
        <f>' Übersicht Umsätze '!AC26/' Übersicht Reichweite all'!AC26*1000</f>
        <v>0</v>
      </c>
      <c r="AD26" s="197">
        <f>' Übersicht Umsätze '!AD26/' Übersicht Reichweite all'!AD26*1000</f>
        <v>0</v>
      </c>
      <c r="AE26" s="186">
        <f>' Übersicht Umsätze '!AE26/' Übersicht Reichweite all'!AE26*1000</f>
        <v>0</v>
      </c>
      <c r="AF26" s="186">
        <f>' Übersicht Umsätze '!AF26/' Übersicht Reichweite all'!AF26*1000</f>
        <v>0</v>
      </c>
      <c r="AG26" s="186">
        <f>' Übersicht Umsätze '!AG26/' Übersicht Reichweite all'!AG26*1000</f>
        <v>0</v>
      </c>
      <c r="AH26" s="186">
        <f>' Übersicht Umsätze '!AH26/' Übersicht Reichweite all'!AH26*1000</f>
        <v>0</v>
      </c>
      <c r="AI26" s="186">
        <f>' Übersicht Umsätze '!AI26/' Übersicht Reichweite all'!AI26*1000</f>
        <v>0</v>
      </c>
      <c r="AJ26" s="186">
        <f>' Übersicht Umsätze '!AJ26/' Übersicht Reichweite all'!AJ26*1000</f>
        <v>0</v>
      </c>
      <c r="AK26" s="186">
        <f>' Übersicht Umsätze '!AK26/' Übersicht Reichweite all'!AK26*1000</f>
        <v>0</v>
      </c>
      <c r="AL26" s="186" t="e">
        <f>' Übersicht Umsätze '!AL26/' Übersicht Reichweite all'!AL26*1000</f>
        <v>#DIV/0!</v>
      </c>
      <c r="AM26" s="186" t="e">
        <f>' Übersicht Umsätze '!AM26/' Übersicht Reichweite all'!AM26*1000</f>
        <v>#DIV/0!</v>
      </c>
      <c r="AN26" s="186" t="e">
        <f>' Übersicht Umsätze '!AN26/' Übersicht Reichweite all'!AN26*1000</f>
        <v>#DIV/0!</v>
      </c>
      <c r="AO26" s="186" t="e">
        <f>' Übersicht Umsätze '!AO26/' Übersicht Reichweite all'!AO26*1000</f>
        <v>#DIV/0!</v>
      </c>
      <c r="AP26" s="186" t="e">
        <f>' Übersicht Umsätze '!AP26/' Übersicht Reichweite all'!AP26*1000</f>
        <v>#DIV/0!</v>
      </c>
      <c r="AQ26" s="197">
        <f>' Übersicht Umsätze '!AQ26/' Übersicht Reichweite all'!AQ26*1000</f>
        <v>0</v>
      </c>
    </row>
    <row r="27" spans="1:43">
      <c r="A27" s="35"/>
      <c r="B27" s="38" t="s">
        <v>3</v>
      </c>
      <c r="C27" s="58" t="s">
        <v>15</v>
      </c>
      <c r="D27" s="33" t="s">
        <v>39</v>
      </c>
      <c r="E27" s="186" t="e">
        <f>' Übersicht Umsätze '!E27/' Übersicht Reichweite all'!E27*1000</f>
        <v>#DIV/0!</v>
      </c>
      <c r="F27" s="186" t="e">
        <f>' Übersicht Umsätze '!F27/' Übersicht Reichweite all'!F27*1000</f>
        <v>#DIV/0!</v>
      </c>
      <c r="G27" s="186" t="e">
        <f>' Übersicht Umsätze '!G27/' Übersicht Reichweite all'!G27*1000</f>
        <v>#DIV/0!</v>
      </c>
      <c r="H27" s="186" t="e">
        <f>' Übersicht Umsätze '!H27/' Übersicht Reichweite all'!H27*1000</f>
        <v>#DIV/0!</v>
      </c>
      <c r="I27" s="186" t="e">
        <f>' Übersicht Umsätze '!I27/' Übersicht Reichweite all'!I27*1000</f>
        <v>#DIV/0!</v>
      </c>
      <c r="J27" s="186" t="e">
        <f>' Übersicht Umsätze '!J27/' Übersicht Reichweite all'!J27*1000</f>
        <v>#DIV/0!</v>
      </c>
      <c r="K27" s="186">
        <f>' Übersicht Umsätze '!K27/' Übersicht Reichweite all'!K27*1000</f>
        <v>0.2568149050280073</v>
      </c>
      <c r="L27" s="186">
        <f>' Übersicht Umsätze '!L27/' Übersicht Reichweite all'!L27*1000</f>
        <v>4.8074116477987684E-2</v>
      </c>
      <c r="M27" s="186">
        <f>' Übersicht Umsätze '!M27/' Übersicht Reichweite all'!M27*1000</f>
        <v>6.4070853372689807E-2</v>
      </c>
      <c r="N27" s="186">
        <f>' Übersicht Umsätze '!N27/' Übersicht Reichweite all'!N27*1000</f>
        <v>0.61217313900111492</v>
      </c>
      <c r="O27" s="186">
        <f>' Übersicht Umsätze '!O27/' Übersicht Reichweite all'!O27*1000</f>
        <v>0.60295957232524811</v>
      </c>
      <c r="P27" s="186">
        <f>' Übersicht Umsätze '!P27/' Übersicht Reichweite all'!P27*1000</f>
        <v>0.32134130535594374</v>
      </c>
      <c r="Q27" s="197">
        <f>' Übersicht Umsätze '!Q27/' Übersicht Reichweite all'!Q27*1000</f>
        <v>0.29907212118943272</v>
      </c>
      <c r="R27" s="186">
        <f>' Übersicht Umsätze '!R27/' Übersicht Reichweite all'!R27*1000</f>
        <v>0</v>
      </c>
      <c r="S27" s="186">
        <f>' Übersicht Umsätze '!S27/' Übersicht Reichweite all'!S27*1000</f>
        <v>0</v>
      </c>
      <c r="T27" s="186">
        <f>' Übersicht Umsätze '!T27/' Übersicht Reichweite all'!T27*1000</f>
        <v>0</v>
      </c>
      <c r="U27" s="186">
        <f>' Übersicht Umsätze '!U27/' Übersicht Reichweite all'!U27*1000</f>
        <v>0</v>
      </c>
      <c r="V27" s="186">
        <f>' Übersicht Umsätze '!V27/' Übersicht Reichweite all'!V27*1000</f>
        <v>0</v>
      </c>
      <c r="W27" s="186">
        <f>' Übersicht Umsätze '!W27/' Übersicht Reichweite all'!W27*1000</f>
        <v>0</v>
      </c>
      <c r="X27" s="186">
        <f>' Übersicht Umsätze '!X27/' Übersicht Reichweite all'!X27*1000</f>
        <v>0</v>
      </c>
      <c r="Y27" s="186">
        <f>' Übersicht Umsätze '!Y27/' Übersicht Reichweite all'!Y27*1000</f>
        <v>0</v>
      </c>
      <c r="Z27" s="186">
        <f>' Übersicht Umsätze '!Z27/' Übersicht Reichweite all'!Z27*1000</f>
        <v>0</v>
      </c>
      <c r="AA27" s="186">
        <f>' Übersicht Umsätze '!AA27/' Übersicht Reichweite all'!AA27*1000</f>
        <v>0</v>
      </c>
      <c r="AB27" s="186">
        <f>' Übersicht Umsätze '!AB27/' Übersicht Reichweite all'!AB27*1000</f>
        <v>0</v>
      </c>
      <c r="AC27" s="186">
        <f>' Übersicht Umsätze '!AC27/' Übersicht Reichweite all'!AC27*1000</f>
        <v>0</v>
      </c>
      <c r="AD27" s="197">
        <f>' Übersicht Umsätze '!AD27/' Übersicht Reichweite all'!AD27*1000</f>
        <v>0</v>
      </c>
      <c r="AE27" s="186">
        <f>' Übersicht Umsätze '!AE27/' Übersicht Reichweite all'!AE27*1000</f>
        <v>0</v>
      </c>
      <c r="AF27" s="186">
        <f>' Übersicht Umsätze '!AF27/' Übersicht Reichweite all'!AF27*1000</f>
        <v>0</v>
      </c>
      <c r="AG27" s="186">
        <f>' Übersicht Umsätze '!AG27/' Übersicht Reichweite all'!AG27*1000</f>
        <v>0</v>
      </c>
      <c r="AH27" s="186">
        <f>' Übersicht Umsätze '!AH27/' Übersicht Reichweite all'!AH27*1000</f>
        <v>0</v>
      </c>
      <c r="AI27" s="186">
        <f>' Übersicht Umsätze '!AI27/' Übersicht Reichweite all'!AI27*1000</f>
        <v>0</v>
      </c>
      <c r="AJ27" s="186">
        <f>' Übersicht Umsätze '!AJ27/' Übersicht Reichweite all'!AJ27*1000</f>
        <v>0</v>
      </c>
      <c r="AK27" s="186">
        <f>' Übersicht Umsätze '!AK27/' Übersicht Reichweite all'!AK27*1000</f>
        <v>0</v>
      </c>
      <c r="AL27" s="186" t="e">
        <f>' Übersicht Umsätze '!AL27/' Übersicht Reichweite all'!AL27*1000</f>
        <v>#DIV/0!</v>
      </c>
      <c r="AM27" s="186" t="e">
        <f>' Übersicht Umsätze '!AM27/' Übersicht Reichweite all'!AM27*1000</f>
        <v>#DIV/0!</v>
      </c>
      <c r="AN27" s="186" t="e">
        <f>' Übersicht Umsätze '!AN27/' Übersicht Reichweite all'!AN27*1000</f>
        <v>#DIV/0!</v>
      </c>
      <c r="AO27" s="186" t="e">
        <f>' Übersicht Umsätze '!AO27/' Übersicht Reichweite all'!AO27*1000</f>
        <v>#DIV/0!</v>
      </c>
      <c r="AP27" s="186" t="e">
        <f>' Übersicht Umsätze '!AP27/' Übersicht Reichweite all'!AP27*1000</f>
        <v>#DIV/0!</v>
      </c>
      <c r="AQ27" s="197">
        <f>' Übersicht Umsätze '!AQ27/' Übersicht Reichweite all'!AQ27*1000</f>
        <v>0</v>
      </c>
    </row>
    <row r="28" spans="1:43">
      <c r="A28" s="35"/>
      <c r="B28" s="38" t="s">
        <v>3</v>
      </c>
      <c r="C28" s="58" t="s">
        <v>109</v>
      </c>
      <c r="D28" s="33" t="s">
        <v>39</v>
      </c>
      <c r="E28" s="186" t="e">
        <f>' Übersicht Umsätze '!E28/' Übersicht Reichweite all'!E28*1000</f>
        <v>#DIV/0!</v>
      </c>
      <c r="F28" s="186" t="e">
        <f>' Übersicht Umsätze '!F28/' Übersicht Reichweite all'!F28*1000</f>
        <v>#DIV/0!</v>
      </c>
      <c r="G28" s="186" t="e">
        <f>' Übersicht Umsätze '!G28/' Übersicht Reichweite all'!G28*1000</f>
        <v>#DIV/0!</v>
      </c>
      <c r="H28" s="186" t="e">
        <f>' Übersicht Umsätze '!H28/' Übersicht Reichweite all'!H28*1000</f>
        <v>#DIV/0!</v>
      </c>
      <c r="I28" s="186" t="e">
        <f>' Übersicht Umsätze '!I28/' Übersicht Reichweite all'!I28*1000</f>
        <v>#DIV/0!</v>
      </c>
      <c r="J28" s="186" t="e">
        <f>' Übersicht Umsätze '!J28/' Übersicht Reichweite all'!J28*1000</f>
        <v>#DIV/0!</v>
      </c>
      <c r="K28" s="186" t="e">
        <f>' Übersicht Umsätze '!K28/' Übersicht Reichweite all'!K28*1000</f>
        <v>#DIV/0!</v>
      </c>
      <c r="L28" s="186">
        <f>' Übersicht Umsätze '!L28/' Übersicht Reichweite all'!L28*1000</f>
        <v>0.46574022203874005</v>
      </c>
      <c r="M28" s="186">
        <f>' Übersicht Umsätze '!M28/' Übersicht Reichweite all'!M28*1000</f>
        <v>2.184943970607784E-2</v>
      </c>
      <c r="N28" s="186">
        <f>' Übersicht Umsätze '!N28/' Übersicht Reichweite all'!N28*1000</f>
        <v>0.13968980296101408</v>
      </c>
      <c r="O28" s="186">
        <f>' Übersicht Umsätze '!O28/' Übersicht Reichweite all'!O28*1000</f>
        <v>0.45895768189899511</v>
      </c>
      <c r="P28" s="186">
        <f>' Übersicht Umsätze '!P28/' Übersicht Reichweite all'!P28*1000</f>
        <v>9.8024953826532452E-2</v>
      </c>
      <c r="Q28" s="197">
        <f>' Übersicht Umsätze '!Q28/' Übersicht Reichweite all'!Q28*1000</f>
        <v>0.18976936498656138</v>
      </c>
      <c r="R28" s="186">
        <f>' Übersicht Umsätze '!R28/' Übersicht Reichweite all'!R28*1000</f>
        <v>0</v>
      </c>
      <c r="S28" s="186">
        <f>' Übersicht Umsätze '!S28/' Übersicht Reichweite all'!S28*1000</f>
        <v>0</v>
      </c>
      <c r="T28" s="186">
        <f>' Übersicht Umsätze '!T28/' Übersicht Reichweite all'!T28*1000</f>
        <v>0</v>
      </c>
      <c r="U28" s="186">
        <f>' Übersicht Umsätze '!U28/' Übersicht Reichweite all'!U28*1000</f>
        <v>0</v>
      </c>
      <c r="V28" s="186">
        <f>' Übersicht Umsätze '!V28/' Übersicht Reichweite all'!V28*1000</f>
        <v>0</v>
      </c>
      <c r="W28" s="186">
        <f>' Übersicht Umsätze '!W28/' Übersicht Reichweite all'!W28*1000</f>
        <v>0</v>
      </c>
      <c r="X28" s="186">
        <f>' Übersicht Umsätze '!X28/' Übersicht Reichweite all'!X28*1000</f>
        <v>0</v>
      </c>
      <c r="Y28" s="186">
        <f>' Übersicht Umsätze '!Y28/' Übersicht Reichweite all'!Y28*1000</f>
        <v>0</v>
      </c>
      <c r="Z28" s="186">
        <f>' Übersicht Umsätze '!Z28/' Übersicht Reichweite all'!Z28*1000</f>
        <v>0</v>
      </c>
      <c r="AA28" s="186">
        <f>' Übersicht Umsätze '!AA28/' Übersicht Reichweite all'!AA28*1000</f>
        <v>0</v>
      </c>
      <c r="AB28" s="186">
        <f>' Übersicht Umsätze '!AB28/' Übersicht Reichweite all'!AB28*1000</f>
        <v>0</v>
      </c>
      <c r="AC28" s="186">
        <f>' Übersicht Umsätze '!AC28/' Übersicht Reichweite all'!AC28*1000</f>
        <v>0</v>
      </c>
      <c r="AD28" s="197">
        <f>' Übersicht Umsätze '!AD28/' Übersicht Reichweite all'!AD28*1000</f>
        <v>0</v>
      </c>
      <c r="AE28" s="186">
        <f>' Übersicht Umsätze '!AE28/' Übersicht Reichweite all'!AE28*1000</f>
        <v>0</v>
      </c>
      <c r="AF28" s="186">
        <f>' Übersicht Umsätze '!AF28/' Übersicht Reichweite all'!AF28*1000</f>
        <v>0</v>
      </c>
      <c r="AG28" s="186">
        <f>' Übersicht Umsätze '!AG28/' Übersicht Reichweite all'!AG28*1000</f>
        <v>0</v>
      </c>
      <c r="AH28" s="186">
        <f>' Übersicht Umsätze '!AH28/' Übersicht Reichweite all'!AH28*1000</f>
        <v>0</v>
      </c>
      <c r="AI28" s="186">
        <f>' Übersicht Umsätze '!AI28/' Übersicht Reichweite all'!AI28*1000</f>
        <v>0</v>
      </c>
      <c r="AJ28" s="186">
        <f>' Übersicht Umsätze '!AJ28/' Übersicht Reichweite all'!AJ28*1000</f>
        <v>0</v>
      </c>
      <c r="AK28" s="186">
        <f>' Übersicht Umsätze '!AK28/' Übersicht Reichweite all'!AK28*1000</f>
        <v>0</v>
      </c>
      <c r="AL28" s="186" t="e">
        <f>' Übersicht Umsätze '!AL28/' Übersicht Reichweite all'!AL28*1000</f>
        <v>#DIV/0!</v>
      </c>
      <c r="AM28" s="186" t="e">
        <f>' Übersicht Umsätze '!AM28/' Übersicht Reichweite all'!AM28*1000</f>
        <v>#DIV/0!</v>
      </c>
      <c r="AN28" s="186" t="e">
        <f>' Übersicht Umsätze '!AN28/' Übersicht Reichweite all'!AN28*1000</f>
        <v>#DIV/0!</v>
      </c>
      <c r="AO28" s="186" t="e">
        <f>' Übersicht Umsätze '!AO28/' Übersicht Reichweite all'!AO28*1000</f>
        <v>#DIV/0!</v>
      </c>
      <c r="AP28" s="186" t="e">
        <f>' Übersicht Umsätze '!AP28/' Übersicht Reichweite all'!AP28*1000</f>
        <v>#DIV/0!</v>
      </c>
      <c r="AQ28" s="197">
        <f>' Übersicht Umsätze '!AQ28/' Übersicht Reichweite all'!AQ28*1000</f>
        <v>0</v>
      </c>
    </row>
    <row r="29" spans="1:43">
      <c r="A29" s="35"/>
      <c r="B29" s="67" t="s">
        <v>1</v>
      </c>
      <c r="C29" s="65" t="s">
        <v>108</v>
      </c>
      <c r="D29" s="86" t="s">
        <v>40</v>
      </c>
      <c r="E29" s="187">
        <f>' Übersicht Umsätze '!E29/' Übersicht Reichweite all'!E29*1000</f>
        <v>0.67304877151772968</v>
      </c>
      <c r="F29" s="187">
        <f>' Übersicht Umsätze '!F29/' Übersicht Reichweite all'!F29*1000</f>
        <v>0.68405832368187447</v>
      </c>
      <c r="G29" s="187">
        <f>' Übersicht Umsätze '!G29/' Übersicht Reichweite all'!G29*1000</f>
        <v>0.67652165792328478</v>
      </c>
      <c r="H29" s="187">
        <f>' Übersicht Umsätze '!H29/' Übersicht Reichweite all'!H29*1000</f>
        <v>0.70216028388340279</v>
      </c>
      <c r="I29" s="187">
        <f>' Übersicht Umsätze '!I29/' Übersicht Reichweite all'!I29*1000</f>
        <v>0.69192795326025613</v>
      </c>
      <c r="J29" s="187">
        <f>' Übersicht Umsätze '!J29/' Übersicht Reichweite all'!J29*1000</f>
        <v>0.71207711737288704</v>
      </c>
      <c r="K29" s="187">
        <f>' Übersicht Umsätze '!K29/' Übersicht Reichweite all'!K29*1000</f>
        <v>0.7132832484013546</v>
      </c>
      <c r="L29" s="187">
        <f>' Übersicht Umsätze '!L29/' Übersicht Reichweite all'!L29*1000</f>
        <v>0.73649239636367669</v>
      </c>
      <c r="M29" s="187">
        <f>' Übersicht Umsätze '!M29/' Übersicht Reichweite all'!M29*1000</f>
        <v>0.75198804023811461</v>
      </c>
      <c r="N29" s="187">
        <f>' Übersicht Umsätze '!N29/' Übersicht Reichweite all'!N29*1000</f>
        <v>0.74055437983750427</v>
      </c>
      <c r="O29" s="187">
        <f>' Übersicht Umsätze '!O29/' Übersicht Reichweite all'!O29*1000</f>
        <v>0.71086896966636759</v>
      </c>
      <c r="P29" s="187">
        <f>' Übersicht Umsätze '!P29/' Übersicht Reichweite all'!P29*1000</f>
        <v>0.69242077799826252</v>
      </c>
      <c r="Q29" s="198">
        <f>' Übersicht Umsätze '!Q29/' Übersicht Reichweite all'!Q29*1000</f>
        <v>0.70620083725162286</v>
      </c>
      <c r="R29" s="187">
        <f>' Übersicht Umsätze '!R29/' Übersicht Reichweite all'!R29*1000</f>
        <v>0.68176919793599211</v>
      </c>
      <c r="S29" s="187">
        <f>' Übersicht Umsätze '!S29/' Übersicht Reichweite all'!S29*1000</f>
        <v>0.69740503398354092</v>
      </c>
      <c r="T29" s="187" t="e">
        <f>' Übersicht Umsätze '!T29/' Übersicht Reichweite all'!T29*1000</f>
        <v>#DIV/0!</v>
      </c>
      <c r="U29" s="187">
        <f>' Übersicht Umsätze '!U29/' Übersicht Reichweite all'!U29*1000</f>
        <v>0.67236606896516316</v>
      </c>
      <c r="V29" s="187">
        <f>' Übersicht Umsätze '!V29/' Übersicht Reichweite all'!V29*1000</f>
        <v>0.6271236698960222</v>
      </c>
      <c r="W29" s="187">
        <f>' Übersicht Umsätze '!W29/' Übersicht Reichweite all'!W29*1000</f>
        <v>0.67845215849540363</v>
      </c>
      <c r="X29" s="187">
        <f>' Übersicht Umsätze '!X29/' Übersicht Reichweite all'!X29*1000</f>
        <v>0.65649616690563195</v>
      </c>
      <c r="Y29" s="187">
        <f>' Übersicht Umsätze '!Y29/' Übersicht Reichweite all'!Y29*1000</f>
        <v>0.66417271539331024</v>
      </c>
      <c r="Z29" s="187">
        <f>' Übersicht Umsätze '!Z29/' Übersicht Reichweite all'!Z29*1000</f>
        <v>0.6839574583207817</v>
      </c>
      <c r="AA29" s="187">
        <f>' Übersicht Umsätze '!AA29/' Übersicht Reichweite all'!AA29*1000</f>
        <v>0.67953623521965534</v>
      </c>
      <c r="AB29" s="187">
        <f>' Übersicht Umsätze '!AB29/' Übersicht Reichweite all'!AB29*1000</f>
        <v>0.66789202879396092</v>
      </c>
      <c r="AC29" s="187">
        <f>' Übersicht Umsätze '!AC29/' Übersicht Reichweite all'!AC29*1000</f>
        <v>0.66808002284077073</v>
      </c>
      <c r="AD29" s="198">
        <f>' Übersicht Umsätze '!AD29/' Übersicht Reichweite all'!AD29*1000</f>
        <v>0.73333944446215793</v>
      </c>
      <c r="AE29" s="187">
        <f>' Übersicht Umsätze '!AE29/' Übersicht Reichweite all'!AE29*1000</f>
        <v>0.68199812289284234</v>
      </c>
      <c r="AF29" s="187">
        <f>' Übersicht Umsätze '!AF29/' Übersicht Reichweite all'!AF29*1000</f>
        <v>0.69228336495888676</v>
      </c>
      <c r="AG29" s="187">
        <f>' Übersicht Umsätze '!AG29/' Übersicht Reichweite all'!AG29*1000</f>
        <v>0.69398267840248284</v>
      </c>
      <c r="AH29" s="187">
        <f>' Übersicht Umsätze '!AH29/' Übersicht Reichweite all'!AH29*1000</f>
        <v>0.6971620863712843</v>
      </c>
      <c r="AI29" s="187">
        <f>' Übersicht Umsätze '!AI29/' Übersicht Reichweite all'!AI29*1000</f>
        <v>0.32094351764391538</v>
      </c>
      <c r="AJ29" s="187">
        <f>' Übersicht Umsätze '!AJ29/' Übersicht Reichweite all'!AJ29*1000</f>
        <v>0.31372296570169539</v>
      </c>
      <c r="AK29" s="187">
        <f>' Übersicht Umsätze '!AK29/' Übersicht Reichweite all'!AK29*1000</f>
        <v>0.34007949695293216</v>
      </c>
      <c r="AL29" s="187">
        <f>' Übersicht Umsätze '!AL29/' Übersicht Reichweite all'!AL29*1000</f>
        <v>0.31606351961308277</v>
      </c>
      <c r="AM29" s="187" t="e">
        <f>' Übersicht Umsätze '!AM29/' Übersicht Reichweite all'!AM29*1000</f>
        <v>#DIV/0!</v>
      </c>
      <c r="AN29" s="187" t="e">
        <f>' Übersicht Umsätze '!AN29/' Übersicht Reichweite all'!AN29*1000</f>
        <v>#DIV/0!</v>
      </c>
      <c r="AO29" s="187" t="e">
        <f>' Übersicht Umsätze '!AO29/' Übersicht Reichweite all'!AO29*1000</f>
        <v>#DIV/0!</v>
      </c>
      <c r="AP29" s="187" t="e">
        <f>' Übersicht Umsätze '!AP29/' Übersicht Reichweite all'!AP29*1000</f>
        <v>#DIV/0!</v>
      </c>
      <c r="AQ29" s="198">
        <f>' Übersicht Umsätze '!AQ29/' Übersicht Reichweite all'!AQ29*1000</f>
        <v>0.37484366312495843</v>
      </c>
    </row>
    <row r="30" spans="1:43">
      <c r="A30" s="35"/>
      <c r="B30" s="67" t="s">
        <v>1</v>
      </c>
      <c r="C30" s="65" t="s">
        <v>15</v>
      </c>
      <c r="D30" s="86" t="s">
        <v>40</v>
      </c>
      <c r="E30" s="187">
        <f>' Übersicht Umsätze '!E30/' Übersicht Reichweite all'!E30*1000</f>
        <v>0.45045495500000043</v>
      </c>
      <c r="F30" s="187">
        <f>' Übersicht Umsätze '!F30/' Übersicht Reichweite all'!F30*1000</f>
        <v>0.43931384449256389</v>
      </c>
      <c r="G30" s="187">
        <f>' Übersicht Umsätze '!G30/' Übersicht Reichweite all'!G30*1000</f>
        <v>0.45812455261274154</v>
      </c>
      <c r="H30" s="187">
        <f>' Übersicht Umsätze '!H30/' Übersicht Reichweite all'!H30*1000</f>
        <v>0.46448591374682374</v>
      </c>
      <c r="I30" s="187">
        <f>' Übersicht Umsätze '!I30/' Übersicht Reichweite all'!I30*1000</f>
        <v>0.45539124473606901</v>
      </c>
      <c r="J30" s="187" t="e">
        <f>' Übersicht Umsätze '!J30/' Übersicht Reichweite all'!J30*1000</f>
        <v>#DIV/0!</v>
      </c>
      <c r="K30" s="187">
        <f>' Übersicht Umsätze '!K30/' Übersicht Reichweite all'!K30*1000</f>
        <v>0.2284562845105069</v>
      </c>
      <c r="L30" s="187">
        <f>' Übersicht Umsätze '!L30/' Übersicht Reichweite all'!L30*1000</f>
        <v>0.15360983102918588</v>
      </c>
      <c r="M30" s="187">
        <f>' Übersicht Umsätze '!M30/' Übersicht Reichweite all'!M30*1000</f>
        <v>0.24333268444617481</v>
      </c>
      <c r="N30" s="187">
        <f>' Übersicht Umsätze '!N30/' Übersicht Reichweite all'!N30*1000</f>
        <v>0.25224341143664714</v>
      </c>
      <c r="O30" s="187">
        <f>' Übersicht Umsätze '!O30/' Übersicht Reichweite all'!O30*1000</f>
        <v>0.24132720274843072</v>
      </c>
      <c r="P30" s="187">
        <f>' Übersicht Umsätze '!P30/' Übersicht Reichweite all'!P30*1000</f>
        <v>0.2338018278623234</v>
      </c>
      <c r="Q30" s="198">
        <f>' Übersicht Umsätze '!Q30/' Übersicht Reichweite all'!Q30*1000</f>
        <v>0.29949601223883515</v>
      </c>
      <c r="R30" s="187">
        <f>' Übersicht Umsätze '!R30/' Übersicht Reichweite all'!R30*1000</f>
        <v>0.23227466472606301</v>
      </c>
      <c r="S30" s="187">
        <f>' Übersicht Umsätze '!S30/' Übersicht Reichweite all'!S30*1000</f>
        <v>0.23612406716417911</v>
      </c>
      <c r="T30" s="187" t="e">
        <f>' Übersicht Umsätze '!T30/' Übersicht Reichweite all'!T30*1000</f>
        <v>#DIV/0!</v>
      </c>
      <c r="U30" s="187">
        <f>' Übersicht Umsätze '!U30/' Übersicht Reichweite all'!U30*1000</f>
        <v>0.21244309559939306</v>
      </c>
      <c r="V30" s="187">
        <f>' Übersicht Umsätze '!V30/' Übersicht Reichweite all'!V30*1000</f>
        <v>0.23416711016498137</v>
      </c>
      <c r="W30" s="187">
        <f>' Übersicht Umsätze '!W30/' Übersicht Reichweite all'!W30*1000</f>
        <v>0.22896698615548455</v>
      </c>
      <c r="X30" s="187">
        <f>' Übersicht Umsätze '!X30/' Übersicht Reichweite all'!X30*1000</f>
        <v>0.22812590239676583</v>
      </c>
      <c r="Y30" s="187">
        <f>' Übersicht Umsätze '!Y30/' Übersicht Reichweite all'!Y30*1000</f>
        <v>0.2308300395256917</v>
      </c>
      <c r="Z30" s="187">
        <f>' Übersicht Umsätze '!Z30/' Übersicht Reichweite all'!Z30*1000</f>
        <v>0.23809523809523808</v>
      </c>
      <c r="AA30" s="187">
        <f>' Übersicht Umsätze '!AA30/' Übersicht Reichweite all'!AA30*1000</f>
        <v>0.23446587082950718</v>
      </c>
      <c r="AB30" s="187">
        <f>' Übersicht Umsätze '!AB30/' Übersicht Reichweite all'!AB30*1000</f>
        <v>0.47363698045481406</v>
      </c>
      <c r="AC30" s="187">
        <f>' Übersicht Umsätze '!AC30/' Übersicht Reichweite all'!AC30*1000</f>
        <v>0.22932330827067671</v>
      </c>
      <c r="AD30" s="198">
        <f>' Übersicht Umsätze '!AD30/' Übersicht Reichweite all'!AD30*1000</f>
        <v>0.29440416643249212</v>
      </c>
      <c r="AE30" s="187">
        <f>' Übersicht Umsätze '!AE30/' Übersicht Reichweite all'!AE30*1000</f>
        <v>0.23264831329972857</v>
      </c>
      <c r="AF30" s="187">
        <f>' Übersicht Umsätze '!AF30/' Übersicht Reichweite all'!AF30*1000</f>
        <v>0.23441966838193251</v>
      </c>
      <c r="AG30" s="187">
        <f>' Übersicht Umsätze '!AG30/' Übersicht Reichweite all'!AG30*1000</f>
        <v>0.22758620689655173</v>
      </c>
      <c r="AH30" s="187">
        <f>' Übersicht Umsätze '!AH30/' Übersicht Reichweite all'!AH30*1000</f>
        <v>0.24038461538461536</v>
      </c>
      <c r="AI30" s="187">
        <f>' Übersicht Umsätze '!AI30/' Übersicht Reichweite all'!AI30*1000</f>
        <v>0.10456487519676186</v>
      </c>
      <c r="AJ30" s="187">
        <f>' Übersicht Umsätze '!AJ30/' Übersicht Reichweite all'!AJ30*1000</f>
        <v>9.490548912829011E-2</v>
      </c>
      <c r="AK30" s="187">
        <f>' Übersicht Umsätze '!AK30/' Übersicht Reichweite all'!AK30*1000</f>
        <v>9.4551162269227884E-2</v>
      </c>
      <c r="AL30" s="187">
        <f>' Übersicht Umsätze '!AL30/' Übersicht Reichweite all'!AL30*1000</f>
        <v>9.0581687220342683E-2</v>
      </c>
      <c r="AM30" s="187" t="e">
        <f>' Übersicht Umsätze '!AM30/' Übersicht Reichweite all'!AM30*1000</f>
        <v>#DIV/0!</v>
      </c>
      <c r="AN30" s="187" t="e">
        <f>' Übersicht Umsätze '!AN30/' Übersicht Reichweite all'!AN30*1000</f>
        <v>#DIV/0!</v>
      </c>
      <c r="AO30" s="187" t="e">
        <f>' Übersicht Umsätze '!AO30/' Übersicht Reichweite all'!AO30*1000</f>
        <v>#DIV/0!</v>
      </c>
      <c r="AP30" s="187" t="e">
        <f>' Übersicht Umsätze '!AP30/' Übersicht Reichweite all'!AP30*1000</f>
        <v>#DIV/0!</v>
      </c>
      <c r="AQ30" s="198">
        <f>' Übersicht Umsätze '!AQ30/' Übersicht Reichweite all'!AQ30*1000</f>
        <v>0.10644959298685032</v>
      </c>
    </row>
    <row r="31" spans="1:43">
      <c r="A31" s="35"/>
      <c r="B31" s="67" t="s">
        <v>1</v>
      </c>
      <c r="C31" s="65" t="s">
        <v>109</v>
      </c>
      <c r="D31" s="86" t="s">
        <v>40</v>
      </c>
      <c r="E31" s="187">
        <f>' Übersicht Umsätze '!E31/' Übersicht Reichweite all'!E31*1000</f>
        <v>0.29267761631119532</v>
      </c>
      <c r="F31" s="187">
        <f>' Übersicht Umsätze '!F31/' Übersicht Reichweite all'!F31*1000</f>
        <v>0.28531215428388562</v>
      </c>
      <c r="G31" s="187">
        <f>' Übersicht Umsätze '!G31/' Übersicht Reichweite all'!G31*1000</f>
        <v>0.29157652185628558</v>
      </c>
      <c r="H31" s="187">
        <f>' Übersicht Umsätze '!H31/' Übersicht Reichweite all'!H31*1000</f>
        <v>0.30434816450508045</v>
      </c>
      <c r="I31" s="187">
        <f>' Übersicht Umsätze '!I31/' Übersicht Reichweite all'!I31*1000</f>
        <v>0.23630530926968654</v>
      </c>
      <c r="J31" s="187">
        <f>' Übersicht Umsätze '!J31/' Übersicht Reichweite all'!J31*1000</f>
        <v>0.30513671119672631</v>
      </c>
      <c r="K31" s="187">
        <f>' Übersicht Umsätze '!K31/' Übersicht Reichweite all'!K31*1000</f>
        <v>0.15914180613059237</v>
      </c>
      <c r="L31" s="187">
        <f>' Übersicht Umsätze '!L31/' Übersicht Reichweite all'!L31*1000</f>
        <v>0.16051462830128493</v>
      </c>
      <c r="M31" s="187">
        <f>' Übersicht Umsätze '!M31/' Übersicht Reichweite all'!M31*1000</f>
        <v>0.16561827835052634</v>
      </c>
      <c r="N31" s="187">
        <f>' Übersicht Umsätze '!N31/' Übersicht Reichweite all'!N31*1000</f>
        <v>0.16613874914601579</v>
      </c>
      <c r="O31" s="187">
        <f>' Übersicht Umsätze '!O31/' Übersicht Reichweite all'!O31*1000</f>
        <v>0.15922636315466446</v>
      </c>
      <c r="P31" s="187">
        <f>' Übersicht Umsätze '!P31/' Übersicht Reichweite all'!P31*1000</f>
        <v>0.15598551649320405</v>
      </c>
      <c r="Q31" s="198">
        <f>' Übersicht Umsätze '!Q31/' Übersicht Reichweite all'!Q31*1000</f>
        <v>0.22964924253997931</v>
      </c>
      <c r="R31" s="187">
        <f>' Übersicht Umsätze '!R31/' Übersicht Reichweite all'!R31*1000</f>
        <v>0.15545976796826558</v>
      </c>
      <c r="S31" s="187">
        <f>' Übersicht Umsätze '!S31/' Übersicht Reichweite all'!S31*1000</f>
        <v>0.15793650353220606</v>
      </c>
      <c r="T31" s="187" t="e">
        <f>' Übersicht Umsätze '!T31/' Übersicht Reichweite all'!T31*1000</f>
        <v>#DIV/0!</v>
      </c>
      <c r="U31" s="187">
        <f>' Übersicht Umsätze '!U31/' Übersicht Reichweite all'!U31*1000</f>
        <v>0.14404309360244105</v>
      </c>
      <c r="V31" s="187">
        <f>' Übersicht Umsätze '!V31/' Übersicht Reichweite all'!V31*1000</f>
        <v>0.15022972755118491</v>
      </c>
      <c r="W31" s="187">
        <f>' Übersicht Umsätze '!W31/' Übersicht Reichweite all'!W31*1000</f>
        <v>0.15260628465804066</v>
      </c>
      <c r="X31" s="187">
        <f>' Übersicht Umsätze '!X31/' Übersicht Reichweite all'!X31*1000</f>
        <v>0.15796738408056846</v>
      </c>
      <c r="Y31" s="187">
        <f>' Übersicht Umsätze '!Y31/' Übersicht Reichweite all'!Y31*1000</f>
        <v>0.15794710922215477</v>
      </c>
      <c r="Z31" s="187">
        <f>' Übersicht Umsätze '!Z31/' Übersicht Reichweite all'!Z31*1000</f>
        <v>0.16217753402396912</v>
      </c>
      <c r="AA31" s="187">
        <f>' Übersicht Umsätze '!AA31/' Übersicht Reichweite all'!AA31*1000</f>
        <v>0.15953625311676786</v>
      </c>
      <c r="AB31" s="187">
        <f>' Übersicht Umsätze '!AB31/' Übersicht Reichweite all'!AB31*1000</f>
        <v>0.14997115085881674</v>
      </c>
      <c r="AC31" s="187">
        <f>' Übersicht Umsätze '!AC31/' Übersicht Reichweite all'!AC31*1000</f>
        <v>0.14855274357200157</v>
      </c>
      <c r="AD31" s="198">
        <f>' Übersicht Umsätze '!AD31/' Übersicht Reichweite all'!AD31*1000</f>
        <v>0.17339110788892448</v>
      </c>
      <c r="AE31" s="187">
        <f>' Übersicht Umsätze '!AE31/' Übersicht Reichweite all'!AE31*1000</f>
        <v>0.1531131800989235</v>
      </c>
      <c r="AF31" s="187">
        <f>' Übersicht Umsätze '!AF31/' Übersicht Reichweite all'!AF31*1000</f>
        <v>0.14778325123152711</v>
      </c>
      <c r="AG31" s="187">
        <f>' Übersicht Umsätze '!AG31/' Übersicht Reichweite all'!AG31*1000</f>
        <v>0.14518330908372401</v>
      </c>
      <c r="AH31" s="187">
        <f>' Übersicht Umsätze '!AH31/' Übersicht Reichweite all'!AH31*1000</f>
        <v>0.15194573907771586</v>
      </c>
      <c r="AI31" s="187">
        <f>' Übersicht Umsätze '!AI31/' Übersicht Reichweite all'!AI31*1000</f>
        <v>0.12104139615748587</v>
      </c>
      <c r="AJ31" s="187">
        <f>' Übersicht Umsätze '!AJ31/' Übersicht Reichweite all'!AJ31*1000</f>
        <v>0.11392112700877272</v>
      </c>
      <c r="AK31" s="187">
        <f>' Übersicht Umsätze '!AK31/' Übersicht Reichweite all'!AK31*1000</f>
        <v>0.11213642005288436</v>
      </c>
      <c r="AL31" s="187">
        <f>' Übersicht Umsätze '!AL31/' Übersicht Reichweite all'!AL31*1000</f>
        <v>9.7840512762476975E-2</v>
      </c>
      <c r="AM31" s="187" t="e">
        <f>' Übersicht Umsätze '!AM31/' Übersicht Reichweite all'!AM31*1000</f>
        <v>#DIV/0!</v>
      </c>
      <c r="AN31" s="187" t="e">
        <f>' Übersicht Umsätze '!AN31/' Übersicht Reichweite all'!AN31*1000</f>
        <v>#DIV/0!</v>
      </c>
      <c r="AO31" s="187" t="e">
        <f>' Übersicht Umsätze '!AO31/' Übersicht Reichweite all'!AO31*1000</f>
        <v>#DIV/0!</v>
      </c>
      <c r="AP31" s="187" t="e">
        <f>' Übersicht Umsätze '!AP31/' Übersicht Reichweite all'!AP31*1000</f>
        <v>#DIV/0!</v>
      </c>
      <c r="AQ31" s="198">
        <f>' Übersicht Umsätze '!AQ31/' Übersicht Reichweite all'!AQ31*1000</f>
        <v>0.12566114104502873</v>
      </c>
    </row>
    <row r="32" spans="1:43">
      <c r="A32" s="35"/>
      <c r="B32" s="37" t="s">
        <v>45</v>
      </c>
      <c r="C32" s="58" t="s">
        <v>108</v>
      </c>
      <c r="D32" s="33" t="s">
        <v>40</v>
      </c>
      <c r="E32" s="186" t="e">
        <f>' Übersicht Umsätze '!E32/' Übersicht Reichweite all'!E32*1000</f>
        <v>#DIV/0!</v>
      </c>
      <c r="F32" s="186" t="e">
        <f>' Übersicht Umsätze '!F32/' Übersicht Reichweite all'!F32*1000</f>
        <v>#DIV/0!</v>
      </c>
      <c r="G32" s="186" t="e">
        <f>' Übersicht Umsätze '!G32/' Übersicht Reichweite all'!G32*1000</f>
        <v>#DIV/0!</v>
      </c>
      <c r="H32" s="186" t="e">
        <f>' Übersicht Umsätze '!H32/' Übersicht Reichweite all'!H32*1000</f>
        <v>#DIV/0!</v>
      </c>
      <c r="I32" s="186" t="e">
        <f>' Übersicht Umsätze '!I32/' Übersicht Reichweite all'!I32*1000</f>
        <v>#DIV/0!</v>
      </c>
      <c r="J32" s="186">
        <f>' Übersicht Umsätze '!J32/' Übersicht Reichweite all'!J32*1000</f>
        <v>1.7075729194541074</v>
      </c>
      <c r="K32" s="186">
        <f>' Übersicht Umsätze '!K32/' Übersicht Reichweite all'!K32*1000</f>
        <v>1.2687619205572602</v>
      </c>
      <c r="L32" s="186">
        <f>' Übersicht Umsätze '!L32/' Übersicht Reichweite all'!L32*1000</f>
        <v>1.1421842513136504</v>
      </c>
      <c r="M32" s="186">
        <f>' Übersicht Umsätze '!M32/' Übersicht Reichweite all'!M32*1000</f>
        <v>1.1469216757741347</v>
      </c>
      <c r="N32" s="186">
        <f>' Übersicht Umsätze '!N32/' Übersicht Reichweite all'!N32*1000</f>
        <v>1.289323140353891</v>
      </c>
      <c r="O32" s="186">
        <f>' Übersicht Umsätze '!O32/' Übersicht Reichweite all'!O32*1000</f>
        <v>1.3438912919285073</v>
      </c>
      <c r="P32" s="186">
        <f>' Übersicht Umsätze '!P32/' Übersicht Reichweite all'!P32*1000</f>
        <v>0.89945603576751132</v>
      </c>
      <c r="Q32" s="197">
        <f>' Übersicht Umsätze '!Q32/' Übersicht Reichweite all'!Q32*1000</f>
        <v>1.1930026558227138</v>
      </c>
      <c r="R32" s="186">
        <f>' Übersicht Umsätze '!R32/' Übersicht Reichweite all'!R32*1000</f>
        <v>0.76268036017791929</v>
      </c>
      <c r="S32" s="186">
        <f>' Übersicht Umsätze '!S32/' Übersicht Reichweite all'!S32*1000</f>
        <v>0.64950241188996571</v>
      </c>
      <c r="T32" s="186">
        <f>' Übersicht Umsätze '!T32/' Übersicht Reichweite all'!T32*1000</f>
        <v>0.47795724640347326</v>
      </c>
      <c r="U32" s="186">
        <f>' Übersicht Umsätze '!U32/' Übersicht Reichweite all'!U32*1000</f>
        <v>0.26151873438800993</v>
      </c>
      <c r="V32" s="186">
        <f>' Übersicht Umsätze '!V32/' Übersicht Reichweite all'!V32*1000</f>
        <v>0.21405892188316694</v>
      </c>
      <c r="W32" s="186">
        <f>' Übersicht Umsätze '!W32/' Übersicht Reichweite all'!W32*1000</f>
        <v>0.27486323716901362</v>
      </c>
      <c r="X32" s="186">
        <f>' Übersicht Umsätze '!X32/' Übersicht Reichweite all'!X32*1000</f>
        <v>0.15945411071785587</v>
      </c>
      <c r="Y32" s="186">
        <f>' Übersicht Umsätze '!Y32/' Übersicht Reichweite all'!Y32*1000</f>
        <v>0.21439260968626825</v>
      </c>
      <c r="Z32" s="186">
        <f>' Übersicht Umsätze '!Z32/' Übersicht Reichweite all'!Z32*1000</f>
        <v>0.21903434322046356</v>
      </c>
      <c r="AA32" s="186">
        <f>' Übersicht Umsätze '!AA32/' Übersicht Reichweite all'!AA32*1000</f>
        <v>0.32480733771452885</v>
      </c>
      <c r="AB32" s="186">
        <f>' Übersicht Umsätze '!AB32/' Übersicht Reichweite all'!AB32*1000</f>
        <v>0.24926801418402572</v>
      </c>
      <c r="AC32" s="186">
        <f>' Übersicht Umsätze '!AC32/' Übersicht Reichweite all'!AC32*1000</f>
        <v>0.37731718937108077</v>
      </c>
      <c r="AD32" s="197">
        <f>' Übersicht Umsätze '!AD32/' Übersicht Reichweite all'!AD32*1000</f>
        <v>0.34964163077883387</v>
      </c>
      <c r="AE32" s="186">
        <f>' Übersicht Umsätze '!AE32/' Übersicht Reichweite all'!AE32*1000</f>
        <v>0.15907449476711355</v>
      </c>
      <c r="AF32" s="186">
        <f>' Übersicht Umsätze '!AF32/' Übersicht Reichweite all'!AF32*1000</f>
        <v>0.98773093999140704</v>
      </c>
      <c r="AG32" s="186">
        <f>' Übersicht Umsätze '!AG32/' Übersicht Reichweite all'!AG32*1000</f>
        <v>1.2169060904665796</v>
      </c>
      <c r="AH32" s="186">
        <f>' Übersicht Umsätze '!AH32/' Übersicht Reichweite all'!AH32*1000</f>
        <v>0.77995301487862179</v>
      </c>
      <c r="AI32" s="186">
        <f>' Übersicht Umsätze '!AI32/' Übersicht Reichweite all'!AI32*1000</f>
        <v>1.6754665269436944</v>
      </c>
      <c r="AJ32" s="186">
        <f>' Übersicht Umsätze '!AJ32/' Übersicht Reichweite all'!AJ32*1000</f>
        <v>1.7110843831107172</v>
      </c>
      <c r="AK32" s="186">
        <f>' Übersicht Umsätze '!AK32/' Übersicht Reichweite all'!AK32*1000</f>
        <v>1.4961405813762525</v>
      </c>
      <c r="AL32" s="186">
        <f>' Übersicht Umsätze '!AL32/' Übersicht Reichweite all'!AL32*1000</f>
        <v>1.2674372259864488</v>
      </c>
      <c r="AM32" s="186" t="e">
        <f>' Übersicht Umsätze '!AM32/' Übersicht Reichweite all'!AM32*1000</f>
        <v>#DIV/0!</v>
      </c>
      <c r="AN32" s="186" t="e">
        <f>' Übersicht Umsätze '!AN32/' Übersicht Reichweite all'!AN32*1000</f>
        <v>#DIV/0!</v>
      </c>
      <c r="AO32" s="186" t="e">
        <f>' Übersicht Umsätze '!AO32/' Übersicht Reichweite all'!AO32*1000</f>
        <v>#DIV/0!</v>
      </c>
      <c r="AP32" s="186" t="e">
        <f>' Übersicht Umsätze '!AP32/' Übersicht Reichweite all'!AP32*1000</f>
        <v>#DIV/0!</v>
      </c>
      <c r="AQ32" s="197">
        <f>' Übersicht Umsätze '!AQ32/' Übersicht Reichweite all'!AQ32*1000</f>
        <v>0.43618450871096759</v>
      </c>
    </row>
    <row r="33" spans="1:43">
      <c r="A33" s="35"/>
      <c r="B33" s="37" t="s">
        <v>45</v>
      </c>
      <c r="C33" s="58" t="s">
        <v>15</v>
      </c>
      <c r="D33" s="33" t="s">
        <v>40</v>
      </c>
      <c r="E33" s="186" t="e">
        <f>' Übersicht Umsätze '!E33/' Übersicht Reichweite all'!E33*1000</f>
        <v>#DIV/0!</v>
      </c>
      <c r="F33" s="186" t="e">
        <f>' Übersicht Umsätze '!F33/' Übersicht Reichweite all'!F33*1000</f>
        <v>#DIV/0!</v>
      </c>
      <c r="G33" s="186" t="e">
        <f>' Übersicht Umsätze '!G33/' Übersicht Reichweite all'!G33*1000</f>
        <v>#DIV/0!</v>
      </c>
      <c r="H33" s="186" t="e">
        <f>' Übersicht Umsätze '!H33/' Übersicht Reichweite all'!H33*1000</f>
        <v>#DIV/0!</v>
      </c>
      <c r="I33" s="186">
        <f>' Übersicht Umsätze '!I33/' Übersicht Reichweite all'!I33*1000</f>
        <v>0</v>
      </c>
      <c r="J33" s="186">
        <f>' Übersicht Umsätze '!J33/' Übersicht Reichweite all'!J33*1000</f>
        <v>1.9304054054054054</v>
      </c>
      <c r="K33" s="186">
        <f>' Übersicht Umsätze '!K33/' Übersicht Reichweite all'!K33*1000</f>
        <v>11.437587657784013</v>
      </c>
      <c r="L33" s="186">
        <f>' Übersicht Umsätze '!L33/' Übersicht Reichweite all'!L33*1000</f>
        <v>1.0877666666666668</v>
      </c>
      <c r="M33" s="186">
        <f>' Übersicht Umsätze '!M33/' Übersicht Reichweite all'!M33*1000</f>
        <v>1.1975294117647057</v>
      </c>
      <c r="N33" s="186">
        <f>' Übersicht Umsätze '!N33/' Übersicht Reichweite all'!N33*1000</f>
        <v>1.3435173913043479</v>
      </c>
      <c r="O33" s="186">
        <f>' Übersicht Umsätze '!O33/' Übersicht Reichweite all'!O33*1000</f>
        <v>1.9374473684210527</v>
      </c>
      <c r="P33" s="186">
        <f>' Übersicht Umsätze '!P33/' Übersicht Reichweite all'!P33*1000</f>
        <v>1.2037125000000002</v>
      </c>
      <c r="Q33" s="197">
        <f>' Übersicht Umsätze '!Q33/' Übersicht Reichweite all'!Q33*1000</f>
        <v>1.4060593501475005</v>
      </c>
      <c r="R33" s="186">
        <f>' Übersicht Umsätze '!R33/' Übersicht Reichweite all'!R33*1000</f>
        <v>0.50260937500000002</v>
      </c>
      <c r="S33" s="186">
        <f>' Übersicht Umsätze '!S33/' Übersicht Reichweite all'!S33*1000</f>
        <v>0.82083846153846152</v>
      </c>
      <c r="T33" s="186">
        <f>' Übersicht Umsätze '!T33/' Übersicht Reichweite all'!T33*1000</f>
        <v>1.0476642857142857</v>
      </c>
      <c r="U33" s="186">
        <f>' Übersicht Umsätze '!U33/' Übersicht Reichweite all'!U33*1000</f>
        <v>0.42481875000000002</v>
      </c>
      <c r="V33" s="186">
        <f>' Übersicht Umsätze '!V33/' Übersicht Reichweite all'!V33*1000</f>
        <v>0.32890444796019613</v>
      </c>
      <c r="W33" s="186">
        <f>' Übersicht Umsätze '!W33/' Übersicht Reichweite all'!W33*1000</f>
        <v>0.97597208898623333</v>
      </c>
      <c r="X33" s="186">
        <f>' Übersicht Umsätze '!X33/' Übersicht Reichweite all'!X33*1000</f>
        <v>0.71002003962089388</v>
      </c>
      <c r="Y33" s="186">
        <f>' Übersicht Umsätze '!Y33/' Übersicht Reichweite all'!Y33*1000</f>
        <v>0.93805772969739276</v>
      </c>
      <c r="Z33" s="186">
        <f>' Übersicht Umsätze '!Z33/' Übersicht Reichweite all'!Z33*1000</f>
        <v>0.77744981408063341</v>
      </c>
      <c r="AA33" s="186">
        <f>' Übersicht Umsätze '!AA33/' Übersicht Reichweite all'!AA33*1000</f>
        <v>1.3900637572325762</v>
      </c>
      <c r="AB33" s="186">
        <f>' Übersicht Umsätze '!AB33/' Übersicht Reichweite all'!AB33*1000</f>
        <v>0.86617449116939271</v>
      </c>
      <c r="AC33" s="186">
        <f>' Übersicht Umsätze '!AC33/' Übersicht Reichweite all'!AC33*1000</f>
        <v>0.60020654881234436</v>
      </c>
      <c r="AD33" s="197">
        <f>' Übersicht Umsätze '!AD33/' Übersicht Reichweite all'!AD33*1000</f>
        <v>0.72365670175119834</v>
      </c>
      <c r="AE33" s="186">
        <f>' Übersicht Umsätze '!AE33/' Übersicht Reichweite all'!AE33*1000</f>
        <v>0.40797378481703989</v>
      </c>
      <c r="AF33" s="186">
        <f>' Übersicht Umsätze '!AF33/' Übersicht Reichweite all'!AF33*1000</f>
        <v>0.90622076707202992</v>
      </c>
      <c r="AG33" s="186">
        <f>' Übersicht Umsätze '!AG33/' Übersicht Reichweite all'!AG33*1000</f>
        <v>1.1552028218694885</v>
      </c>
      <c r="AH33" s="186">
        <f>' Übersicht Umsätze '!AH33/' Übersicht Reichweite all'!AH33*1000</f>
        <v>1.1390470898735934</v>
      </c>
      <c r="AI33" s="186">
        <f>' Übersicht Umsätze '!AI33/' Übersicht Reichweite all'!AI33*1000</f>
        <v>1.4358836206896552</v>
      </c>
      <c r="AJ33" s="186">
        <f>' Übersicht Umsätze '!AJ33/' Übersicht Reichweite all'!AJ33*1000</f>
        <v>1.012202208018594</v>
      </c>
      <c r="AK33" s="186">
        <f>' Übersicht Umsätze '!AK33/' Übersicht Reichweite all'!AK33*1000</f>
        <v>0.68735827664399096</v>
      </c>
      <c r="AL33" s="186">
        <f>' Übersicht Umsätze '!AL33/' Übersicht Reichweite all'!AL33*1000</f>
        <v>1.0422710319104849</v>
      </c>
      <c r="AM33" s="186" t="e">
        <f>' Übersicht Umsätze '!AM33/' Übersicht Reichweite all'!AM33*1000</f>
        <v>#DIV/0!</v>
      </c>
      <c r="AN33" s="186" t="e">
        <f>' Übersicht Umsätze '!AN33/' Übersicht Reichweite all'!AN33*1000</f>
        <v>#DIV/0!</v>
      </c>
      <c r="AO33" s="186" t="e">
        <f>' Übersicht Umsätze '!AO33/' Übersicht Reichweite all'!AO33*1000</f>
        <v>#DIV/0!</v>
      </c>
      <c r="AP33" s="186" t="e">
        <f>' Übersicht Umsätze '!AP33/' Übersicht Reichweite all'!AP33*1000</f>
        <v>#DIV/0!</v>
      </c>
      <c r="AQ33" s="197">
        <f>' Übersicht Umsätze '!AQ33/' Übersicht Reichweite all'!AQ33*1000</f>
        <v>0.54900340803469982</v>
      </c>
    </row>
    <row r="34" spans="1:43">
      <c r="A34" s="35"/>
      <c r="B34" s="37" t="s">
        <v>45</v>
      </c>
      <c r="C34" s="58" t="s">
        <v>109</v>
      </c>
      <c r="D34" s="33" t="s">
        <v>40</v>
      </c>
      <c r="E34" s="186" t="e">
        <f>' Übersicht Umsätze '!E34/' Übersicht Reichweite all'!E34*1000</f>
        <v>#DIV/0!</v>
      </c>
      <c r="F34" s="186" t="e">
        <f>' Übersicht Umsätze '!F34/' Übersicht Reichweite all'!F34*1000</f>
        <v>#DIV/0!</v>
      </c>
      <c r="G34" s="186" t="e">
        <f>' Übersicht Umsätze '!G34/' Übersicht Reichweite all'!G34*1000</f>
        <v>#DIV/0!</v>
      </c>
      <c r="H34" s="186" t="e">
        <f>' Übersicht Umsätze '!H34/' Übersicht Reichweite all'!H34*1000</f>
        <v>#DIV/0!</v>
      </c>
      <c r="I34" s="186" t="e">
        <f>' Übersicht Umsätze '!I34/' Übersicht Reichweite all'!I34*1000</f>
        <v>#DIV/0!</v>
      </c>
      <c r="J34" s="186">
        <f>' Übersicht Umsätze '!J34/' Übersicht Reichweite all'!J34*1000</f>
        <v>0.74634146341463414</v>
      </c>
      <c r="K34" s="186">
        <f>' Übersicht Umsätze '!K34/' Übersicht Reichweite all'!K34*1000</f>
        <v>0.42180402336145356</v>
      </c>
      <c r="L34" s="186">
        <f>' Übersicht Umsätze '!L34/' Übersicht Reichweite all'!L34*1000</f>
        <v>0.19333593902677351</v>
      </c>
      <c r="M34" s="186">
        <f>' Übersicht Umsätze '!M34/' Übersicht Reichweite all'!M34*1000</f>
        <v>0.32143170838823015</v>
      </c>
      <c r="N34" s="186">
        <f>' Übersicht Umsätze '!N34/' Übersicht Reichweite all'!N34*1000</f>
        <v>0.34157449577098248</v>
      </c>
      <c r="O34" s="186">
        <f>' Übersicht Umsätze '!O34/' Übersicht Reichweite all'!O34*1000</f>
        <v>0.48731201016733744</v>
      </c>
      <c r="P34" s="186">
        <f>' Übersicht Umsätze '!P34/' Übersicht Reichweite all'!P34*1000</f>
        <v>0.57539111389236541</v>
      </c>
      <c r="Q34" s="197">
        <f>' Übersicht Umsätze '!Q34/' Übersicht Reichweite all'!Q34*1000</f>
        <v>0.40344415007264339</v>
      </c>
      <c r="R34" s="186">
        <f>' Übersicht Umsätze '!R34/' Übersicht Reichweite all'!R34*1000</f>
        <v>0.19094213434137833</v>
      </c>
      <c r="S34" s="186">
        <f>' Übersicht Umsätze '!S34/' Übersicht Reichweite all'!S34*1000</f>
        <v>0.20013506212857915</v>
      </c>
      <c r="T34" s="186">
        <f>' Übersicht Umsätze '!T34/' Übersicht Reichweite all'!T34*1000</f>
        <v>0.23171794871794874</v>
      </c>
      <c r="U34" s="186">
        <f>' Übersicht Umsätze '!U34/' Übersicht Reichweite all'!U34*1000</f>
        <v>0.10604137931034482</v>
      </c>
      <c r="V34" s="186">
        <f>' Übersicht Umsätze '!V34/' Übersicht Reichweite all'!V34*1000</f>
        <v>8.2758343783009142E-2</v>
      </c>
      <c r="W34" s="186">
        <f>' Übersicht Umsätze '!W34/' Übersicht Reichweite all'!W34*1000</f>
        <v>0.33395851094060808</v>
      </c>
      <c r="X34" s="186">
        <f>' Übersicht Umsätze '!X34/' Übersicht Reichweite all'!X34*1000</f>
        <v>0.20354533517389986</v>
      </c>
      <c r="Y34" s="186">
        <f>' Übersicht Umsätze '!Y34/' Übersicht Reichweite all'!Y34*1000</f>
        <v>0.38495794161306279</v>
      </c>
      <c r="Z34" s="186">
        <f>' Übersicht Umsätze '!Z34/' Übersicht Reichweite all'!Z34*1000</f>
        <v>0.21477385611528013</v>
      </c>
      <c r="AA34" s="186">
        <f>' Übersicht Umsätze '!AA34/' Übersicht Reichweite all'!AA34*1000</f>
        <v>0.23791258969341161</v>
      </c>
      <c r="AB34" s="186">
        <f>' Übersicht Umsätze '!AB34/' Übersicht Reichweite all'!AB34*1000</f>
        <v>0.18072230403869977</v>
      </c>
      <c r="AC34" s="186">
        <f>' Übersicht Umsätze '!AC34/' Übersicht Reichweite all'!AC34*1000</f>
        <v>0.24482434314694221</v>
      </c>
      <c r="AD34" s="197">
        <f>' Übersicht Umsätze '!AD34/' Übersicht Reichweite all'!AD34*1000</f>
        <v>0.21391242579532196</v>
      </c>
      <c r="AE34" s="186">
        <f>' Übersicht Umsätze '!AE34/' Übersicht Reichweite all'!AE34*1000</f>
        <v>9.9560382725627103E-2</v>
      </c>
      <c r="AF34" s="186">
        <f>' Übersicht Umsätze '!AF34/' Übersicht Reichweite all'!AF34*1000</f>
        <v>0</v>
      </c>
      <c r="AG34" s="186">
        <f>' Übersicht Umsätze '!AG34/' Übersicht Reichweite all'!AG34*1000</f>
        <v>0.46099290780141849</v>
      </c>
      <c r="AH34" s="186">
        <f>' Übersicht Umsätze '!AH34/' Übersicht Reichweite all'!AH34*1000</f>
        <v>0.50835148874364555</v>
      </c>
      <c r="AI34" s="186">
        <f>' Übersicht Umsätze '!AI34/' Übersicht Reichweite all'!AI34*1000</f>
        <v>0.34608985024958405</v>
      </c>
      <c r="AJ34" s="186">
        <f>' Übersicht Umsätze '!AJ34/' Übersicht Reichweite all'!AJ34*1000</f>
        <v>0.33994334277620397</v>
      </c>
      <c r="AK34" s="186">
        <f>' Übersicht Umsätze '!AK34/' Übersicht Reichweite all'!AK34*1000</f>
        <v>0.45524691358024688</v>
      </c>
      <c r="AL34" s="186">
        <f>' Übersicht Umsätze '!AL34/' Übersicht Reichweite all'!AL34*1000</f>
        <v>0.51181102362204733</v>
      </c>
      <c r="AM34" s="186" t="e">
        <f>' Übersicht Umsätze '!AM34/' Übersicht Reichweite all'!AM34*1000</f>
        <v>#DIV/0!</v>
      </c>
      <c r="AN34" s="186" t="e">
        <f>' Übersicht Umsätze '!AN34/' Übersicht Reichweite all'!AN34*1000</f>
        <v>#DIV/0!</v>
      </c>
      <c r="AO34" s="186" t="e">
        <f>' Übersicht Umsätze '!AO34/' Übersicht Reichweite all'!AO34*1000</f>
        <v>#DIV/0!</v>
      </c>
      <c r="AP34" s="186" t="e">
        <f>' Übersicht Umsätze '!AP34/' Übersicht Reichweite all'!AP34*1000</f>
        <v>#DIV/0!</v>
      </c>
      <c r="AQ34" s="197">
        <f>' Übersicht Umsätze '!AQ34/' Übersicht Reichweite all'!AQ34*1000</f>
        <v>0.25818512530315274</v>
      </c>
    </row>
    <row r="35" spans="1:43">
      <c r="A35" s="35"/>
      <c r="B35" s="88" t="s">
        <v>111</v>
      </c>
      <c r="C35" s="65" t="s">
        <v>108</v>
      </c>
      <c r="D35" s="86" t="s">
        <v>39</v>
      </c>
      <c r="E35" s="187" t="e">
        <f>' Übersicht Umsätze '!E35/' Übersicht Reichweite all'!E35*1000</f>
        <v>#DIV/0!</v>
      </c>
      <c r="F35" s="187" t="e">
        <f>' Übersicht Umsätze '!F35/' Übersicht Reichweite all'!F35*1000</f>
        <v>#DIV/0!</v>
      </c>
      <c r="G35" s="187" t="e">
        <f>' Übersicht Umsätze '!G35/' Übersicht Reichweite all'!G35*1000</f>
        <v>#DIV/0!</v>
      </c>
      <c r="H35" s="187" t="e">
        <f>' Übersicht Umsätze '!H35/' Übersicht Reichweite all'!H35*1000</f>
        <v>#DIV/0!</v>
      </c>
      <c r="I35" s="187" t="e">
        <f>' Übersicht Umsätze '!I35/' Übersicht Reichweite all'!I35*1000</f>
        <v>#DIV/0!</v>
      </c>
      <c r="J35" s="187" t="e">
        <f>' Übersicht Umsätze '!J35/' Übersicht Reichweite all'!J35*1000</f>
        <v>#DIV/0!</v>
      </c>
      <c r="K35" s="187">
        <f>' Übersicht Umsätze '!K35/' Übersicht Reichweite all'!K35*1000</f>
        <v>0.40573929430361538</v>
      </c>
      <c r="L35" s="187">
        <f>' Übersicht Umsätze '!L35/' Übersicht Reichweite all'!L35*1000</f>
        <v>0.38444121982679197</v>
      </c>
      <c r="M35" s="187">
        <f>' Übersicht Umsätze '!M35/' Übersicht Reichweite all'!M35*1000</f>
        <v>0.47100007262691551</v>
      </c>
      <c r="N35" s="187">
        <f>' Übersicht Umsätze '!N35/' Übersicht Reichweite all'!N35*1000</f>
        <v>0.62533347659205774</v>
      </c>
      <c r="O35" s="187">
        <f>' Übersicht Umsätze '!O35/' Übersicht Reichweite all'!O35*1000</f>
        <v>0.97758339800675209</v>
      </c>
      <c r="P35" s="187">
        <f>' Übersicht Umsätze '!P35/' Übersicht Reichweite all'!P35*1000</f>
        <v>1.1533086015011647</v>
      </c>
      <c r="Q35" s="198">
        <f>' Übersicht Umsätze '!Q35/' Übersicht Reichweite all'!Q35*1000</f>
        <v>0.63703221801536203</v>
      </c>
      <c r="R35" s="187">
        <f>' Übersicht Umsätze '!R35/' Übersicht Reichweite all'!R35*1000</f>
        <v>0.22830933586767579</v>
      </c>
      <c r="S35" s="187">
        <f>' Übersicht Umsätze '!S35/' Übersicht Reichweite all'!S35*1000</f>
        <v>0.31586231591292946</v>
      </c>
      <c r="T35" s="187">
        <f>' Übersicht Umsätze '!T35/' Übersicht Reichweite all'!T35*1000</f>
        <v>0.48345407996513778</v>
      </c>
      <c r="U35" s="187">
        <f>' Übersicht Umsätze '!U35/' Übersicht Reichweite all'!U35*1000</f>
        <v>0.18135945131809592</v>
      </c>
      <c r="V35" s="187">
        <f>' Übersicht Umsätze '!V35/' Übersicht Reichweite all'!V35*1000</f>
        <v>0.29276074793294132</v>
      </c>
      <c r="W35" s="187">
        <f>' Übersicht Umsätze '!W35/' Übersicht Reichweite all'!W35*1000</f>
        <v>0.38494804264710797</v>
      </c>
      <c r="X35" s="187">
        <f>' Übersicht Umsätze '!X35/' Übersicht Reichweite all'!X35*1000</f>
        <v>0.30889722372592993</v>
      </c>
      <c r="Y35" s="187">
        <f>' Übersicht Umsätze '!Y35/' Übersicht Reichweite all'!Y35*1000</f>
        <v>0.26747506932266707</v>
      </c>
      <c r="Z35" s="187">
        <f>' Übersicht Umsätze '!Z35/' Übersicht Reichweite all'!Z35*1000</f>
        <v>0.42794222279717337</v>
      </c>
      <c r="AA35" s="187">
        <f>' Übersicht Umsätze '!AA35/' Übersicht Reichweite all'!AA35*1000</f>
        <v>0.42287531837924963</v>
      </c>
      <c r="AB35" s="187">
        <f>' Übersicht Umsätze '!AB35/' Übersicht Reichweite all'!AB35*1000</f>
        <v>0.49752880335166266</v>
      </c>
      <c r="AC35" s="187">
        <f>' Übersicht Umsätze '!AC35/' Übersicht Reichweite all'!AC35*1000</f>
        <v>0.75449444070471916</v>
      </c>
      <c r="AD35" s="198">
        <f>' Übersicht Umsätze '!AD35/' Übersicht Reichweite all'!AD35*1000</f>
        <v>0.31954381551002975</v>
      </c>
      <c r="AE35" s="187">
        <f>' Übersicht Umsätze '!AE35/' Übersicht Reichweite all'!AE35*1000</f>
        <v>3.6884765322512845</v>
      </c>
      <c r="AF35" s="187">
        <f>' Übersicht Umsätze '!AF35/' Übersicht Reichweite all'!AF35*1000</f>
        <v>3.8087941261281011</v>
      </c>
      <c r="AG35" s="187">
        <f>' Übersicht Umsätze '!AG35/' Übersicht Reichweite all'!AG35*1000</f>
        <v>4.341838305215469</v>
      </c>
      <c r="AH35" s="187">
        <f>' Übersicht Umsätze '!AH35/' Übersicht Reichweite all'!AH35*1000</f>
        <v>2.3886031148704188</v>
      </c>
      <c r="AI35" s="187">
        <f>' Übersicht Umsätze '!AI35/' Übersicht Reichweite all'!AI35*1000</f>
        <v>2.778912137320741</v>
      </c>
      <c r="AJ35" s="187" t="e">
        <f>' Übersicht Umsätze '!AJ35/' Übersicht Reichweite all'!AJ35*1000</f>
        <v>#DIV/0!</v>
      </c>
      <c r="AK35" s="187" t="e">
        <f>' Übersicht Umsätze '!AK35/' Übersicht Reichweite all'!AK35*1000</f>
        <v>#DIV/0!</v>
      </c>
      <c r="AL35" s="187" t="e">
        <f>' Übersicht Umsätze '!AL35/' Übersicht Reichweite all'!AL35*1000</f>
        <v>#DIV/0!</v>
      </c>
      <c r="AM35" s="187" t="e">
        <f>' Übersicht Umsätze '!AM35/' Übersicht Reichweite all'!AM35*1000</f>
        <v>#DIV/0!</v>
      </c>
      <c r="AN35" s="187" t="e">
        <f>' Übersicht Umsätze '!AN35/' Übersicht Reichweite all'!AN35*1000</f>
        <v>#DIV/0!</v>
      </c>
      <c r="AO35" s="187" t="e">
        <f>' Übersicht Umsätze '!AO35/' Übersicht Reichweite all'!AO35*1000</f>
        <v>#DIV/0!</v>
      </c>
      <c r="AP35" s="187" t="e">
        <f>' Übersicht Umsätze '!AP35/' Übersicht Reichweite all'!AP35*1000</f>
        <v>#DIV/0!</v>
      </c>
      <c r="AQ35" s="198">
        <f>' Übersicht Umsätze '!AQ35/' Übersicht Reichweite all'!AQ35*1000</f>
        <v>3.2068652127449973</v>
      </c>
    </row>
    <row r="36" spans="1:43">
      <c r="A36" s="35"/>
      <c r="B36" s="88" t="s">
        <v>112</v>
      </c>
      <c r="C36" s="65" t="s">
        <v>15</v>
      </c>
      <c r="D36" s="86" t="s">
        <v>39</v>
      </c>
      <c r="E36" s="187" t="e">
        <f>' Übersicht Umsätze '!E36/' Übersicht Reichweite all'!E36*1000</f>
        <v>#DIV/0!</v>
      </c>
      <c r="F36" s="187" t="e">
        <f>' Übersicht Umsätze '!F36/' Übersicht Reichweite all'!F36*1000</f>
        <v>#DIV/0!</v>
      </c>
      <c r="G36" s="187" t="e">
        <f>' Übersicht Umsätze '!G36/' Übersicht Reichweite all'!G36*1000</f>
        <v>#DIV/0!</v>
      </c>
      <c r="H36" s="187" t="e">
        <f>' Übersicht Umsätze '!H36/' Übersicht Reichweite all'!H36*1000</f>
        <v>#DIV/0!</v>
      </c>
      <c r="I36" s="187" t="e">
        <f>' Übersicht Umsätze '!I36/' Übersicht Reichweite all'!I36*1000</f>
        <v>#DIV/0!</v>
      </c>
      <c r="J36" s="187" t="e">
        <f>' Übersicht Umsätze '!J36/' Übersicht Reichweite all'!J36*1000</f>
        <v>#DIV/0!</v>
      </c>
      <c r="K36" s="187" t="e">
        <f>' Übersicht Umsätze '!K36/' Übersicht Reichweite all'!K36*1000</f>
        <v>#DIV/0!</v>
      </c>
      <c r="L36" s="187" t="e">
        <f>' Übersicht Umsätze '!L36/' Übersicht Reichweite all'!L36*1000</f>
        <v>#DIV/0!</v>
      </c>
      <c r="M36" s="187" t="e">
        <f>' Übersicht Umsätze '!M36/' Übersicht Reichweite all'!M36*1000</f>
        <v>#DIV/0!</v>
      </c>
      <c r="N36" s="187">
        <f>' Übersicht Umsätze '!N36/' Übersicht Reichweite all'!N36*1000</f>
        <v>6.052631578947369</v>
      </c>
      <c r="O36" s="187">
        <f>' Übersicht Umsätze '!O36/' Übersicht Reichweite all'!O36*1000</f>
        <v>0.74312248266190073</v>
      </c>
      <c r="P36" s="187">
        <f>' Übersicht Umsätze '!P36/' Übersicht Reichweite all'!P36*1000</f>
        <v>1.2302085280217874</v>
      </c>
      <c r="Q36" s="198">
        <f>' Übersicht Umsätze '!Q36/' Übersicht Reichweite all'!Q36*1000</f>
        <v>1.1842583875945509</v>
      </c>
      <c r="R36" s="187">
        <f>' Übersicht Umsätze '!R36/' Übersicht Reichweite all'!R36*1000</f>
        <v>0.75154675341242494</v>
      </c>
      <c r="S36" s="187">
        <f>' Übersicht Umsätze '!S36/' Übersicht Reichweite all'!S36*1000</f>
        <v>0.79262044698785861</v>
      </c>
      <c r="T36" s="187">
        <f>' Übersicht Umsätze '!T36/' Übersicht Reichweite all'!T36*1000</f>
        <v>1.0697306614137434</v>
      </c>
      <c r="U36" s="187">
        <f>' Übersicht Umsätze '!U36/' Übersicht Reichweite all'!U36*1000</f>
        <v>0.74934242720822108</v>
      </c>
      <c r="V36" s="187">
        <f>' Übersicht Umsätze '!V36/' Übersicht Reichweite all'!V36*1000</f>
        <v>0.6637983551629606</v>
      </c>
      <c r="W36" s="187">
        <f>' Übersicht Umsätze '!W36/' Übersicht Reichweite all'!W36*1000</f>
        <v>0.97114047665602121</v>
      </c>
      <c r="X36" s="187">
        <f>' Übersicht Umsätze '!X36/' Übersicht Reichweite all'!X36*1000</f>
        <v>0.73682560557866394</v>
      </c>
      <c r="Y36" s="187">
        <f>' Übersicht Umsätze '!Y36/' Übersicht Reichweite all'!Y36*1000</f>
        <v>0.820108442164179</v>
      </c>
      <c r="Z36" s="187">
        <f>' Übersicht Umsätze '!Z36/' Übersicht Reichweite all'!Z36*1000</f>
        <v>0.84055275672112617</v>
      </c>
      <c r="AA36" s="187">
        <f>' Übersicht Umsätze '!AA36/' Übersicht Reichweite all'!AA36*1000</f>
        <v>0.83149779735682816</v>
      </c>
      <c r="AB36" s="187">
        <f>' Übersicht Umsätze '!AB36/' Übersicht Reichweite all'!AB36*1000</f>
        <v>1.2088910069219121</v>
      </c>
      <c r="AC36" s="187">
        <f>' Übersicht Umsätze '!AC36/' Übersicht Reichweite all'!AC36*1000</f>
        <v>0.88237216880556779</v>
      </c>
      <c r="AD36" s="198">
        <f>' Übersicht Umsätze '!AD36/' Übersicht Reichweite all'!AD36*1000</f>
        <v>0.80292666327817885</v>
      </c>
      <c r="AE36" s="187">
        <f>' Übersicht Umsätze '!AE36/' Übersicht Reichweite all'!AE36*1000</f>
        <v>3.5884533898305078</v>
      </c>
      <c r="AF36" s="187">
        <f>' Übersicht Umsätze '!AF36/' Übersicht Reichweite all'!AF36*1000</f>
        <v>6.7646184245865779</v>
      </c>
      <c r="AG36" s="187">
        <f>' Übersicht Umsätze '!AG36/' Übersicht Reichweite all'!AG36*1000</f>
        <v>4.3644067796610164</v>
      </c>
      <c r="AH36" s="187">
        <f>' Übersicht Umsätze '!AH36/' Übersicht Reichweite all'!AH36*1000</f>
        <v>3.2639783316917952</v>
      </c>
      <c r="AI36" s="187">
        <f>' Übersicht Umsätze '!AI36/' Übersicht Reichweite all'!AI36*1000</f>
        <v>7.0451936123577914</v>
      </c>
      <c r="AJ36" s="187" t="e">
        <f>' Übersicht Umsätze '!AJ36/' Übersicht Reichweite all'!AJ36*1000</f>
        <v>#DIV/0!</v>
      </c>
      <c r="AK36" s="187" t="e">
        <f>' Übersicht Umsätze '!AK36/' Übersicht Reichweite all'!AK36*1000</f>
        <v>#DIV/0!</v>
      </c>
      <c r="AL36" s="187" t="e">
        <f>' Übersicht Umsätze '!AL36/' Übersicht Reichweite all'!AL36*1000</f>
        <v>#DIV/0!</v>
      </c>
      <c r="AM36" s="187" t="e">
        <f>' Übersicht Umsätze '!AM36/' Übersicht Reichweite all'!AM36*1000</f>
        <v>#DIV/0!</v>
      </c>
      <c r="AN36" s="187" t="e">
        <f>' Übersicht Umsätze '!AN36/' Übersicht Reichweite all'!AN36*1000</f>
        <v>#DIV/0!</v>
      </c>
      <c r="AO36" s="187" t="e">
        <f>' Übersicht Umsätze '!AO36/' Übersicht Reichweite all'!AO36*1000</f>
        <v>#DIV/0!</v>
      </c>
      <c r="AP36" s="187" t="e">
        <f>' Übersicht Umsätze '!AP36/' Übersicht Reichweite all'!AP36*1000</f>
        <v>#DIV/0!</v>
      </c>
      <c r="AQ36" s="198">
        <f>' Übersicht Umsätze '!AQ36/' Übersicht Reichweite all'!AQ36*1000</f>
        <v>4.3995231650312663</v>
      </c>
    </row>
    <row r="37" spans="1:43">
      <c r="A37" s="35"/>
      <c r="B37" s="88" t="s">
        <v>112</v>
      </c>
      <c r="C37" s="65" t="s">
        <v>109</v>
      </c>
      <c r="D37" s="86" t="s">
        <v>39</v>
      </c>
      <c r="E37" s="187" t="e">
        <f>' Übersicht Umsätze '!E37/' Übersicht Reichweite all'!E37*1000</f>
        <v>#DIV/0!</v>
      </c>
      <c r="F37" s="187" t="e">
        <f>' Übersicht Umsätze '!F37/' Übersicht Reichweite all'!F37*1000</f>
        <v>#DIV/0!</v>
      </c>
      <c r="G37" s="187" t="e">
        <f>' Übersicht Umsätze '!G37/' Übersicht Reichweite all'!G37*1000</f>
        <v>#DIV/0!</v>
      </c>
      <c r="H37" s="187" t="e">
        <f>' Übersicht Umsätze '!H37/' Übersicht Reichweite all'!H37*1000</f>
        <v>#DIV/0!</v>
      </c>
      <c r="I37" s="187" t="e">
        <f>' Übersicht Umsätze '!I37/' Übersicht Reichweite all'!I37*1000</f>
        <v>#DIV/0!</v>
      </c>
      <c r="J37" s="187" t="e">
        <f>' Übersicht Umsätze '!J37/' Übersicht Reichweite all'!J37*1000</f>
        <v>#DIV/0!</v>
      </c>
      <c r="K37" s="187" t="e">
        <f>' Übersicht Umsätze '!K37/' Übersicht Reichweite all'!K37*1000</f>
        <v>#DIV/0!</v>
      </c>
      <c r="L37" s="187" t="e">
        <f>' Übersicht Umsätze '!L37/' Übersicht Reichweite all'!L37*1000</f>
        <v>#DIV/0!</v>
      </c>
      <c r="M37" s="187" t="e">
        <f>' Übersicht Umsätze '!M37/' Übersicht Reichweite all'!M37*1000</f>
        <v>#DIV/0!</v>
      </c>
      <c r="N37" s="187">
        <f>' Übersicht Umsätze '!N37/' Übersicht Reichweite all'!N37*1000</f>
        <v>65.647773279352222</v>
      </c>
      <c r="O37" s="187">
        <f>' Übersicht Umsätze '!O37/' Übersicht Reichweite all'!O37*1000</f>
        <v>1.1161130051337431</v>
      </c>
      <c r="P37" s="187">
        <f>' Übersicht Umsätze '!P37/' Übersicht Reichweite all'!P37*1000</f>
        <v>1.2166529556939709</v>
      </c>
      <c r="Q37" s="198">
        <f>' Übersicht Umsätze '!Q37/' Übersicht Reichweite all'!Q37*1000</f>
        <v>1.3559006214876941</v>
      </c>
      <c r="R37" s="187">
        <f>' Übersicht Umsätze '!R37/' Übersicht Reichweite all'!R37*1000</f>
        <v>0.72706677650707496</v>
      </c>
      <c r="S37" s="187">
        <f>' Übersicht Umsätze '!S37/' Übersicht Reichweite all'!S37*1000</f>
        <v>0.81646072914117929</v>
      </c>
      <c r="T37" s="187">
        <f>' Übersicht Umsätze '!T37/' Übersicht Reichweite all'!T37*1000</f>
        <v>1.2002738324506501</v>
      </c>
      <c r="U37" s="187">
        <f>' Übersicht Umsätze '!U37/' Übersicht Reichweite all'!U37*1000</f>
        <v>0.70029734141791034</v>
      </c>
      <c r="V37" s="187">
        <f>' Übersicht Umsätze '!V37/' Übersicht Reichweite all'!V37*1000</f>
        <v>0.63193917418556933</v>
      </c>
      <c r="W37" s="187">
        <f>' Übersicht Umsätze '!W37/' Übersicht Reichweite all'!W37*1000</f>
        <v>0.79335590306892489</v>
      </c>
      <c r="X37" s="187">
        <f>' Übersicht Umsätze '!X37/' Übersicht Reichweite all'!X37*1000</f>
        <v>0.74079499198223764</v>
      </c>
      <c r="Y37" s="187">
        <f>' Übersicht Umsätze '!Y37/' Übersicht Reichweite all'!Y37*1000</f>
        <v>0.92061526428990414</v>
      </c>
      <c r="Z37" s="187">
        <f>' Übersicht Umsätze '!Z37/' Übersicht Reichweite all'!Z37*1000</f>
        <v>1.0391753953888607</v>
      </c>
      <c r="AA37" s="187">
        <f>' Übersicht Umsätze '!AA37/' Übersicht Reichweite all'!AA37*1000</f>
        <v>0.81639217704580536</v>
      </c>
      <c r="AB37" s="187">
        <f>' Übersicht Umsätze '!AB37/' Übersicht Reichweite all'!AB37*1000</f>
        <v>1.1283673097925009</v>
      </c>
      <c r="AC37" s="187">
        <f>' Übersicht Umsätze '!AC37/' Übersicht Reichweite all'!AC37*1000</f>
        <v>1.344295962050214</v>
      </c>
      <c r="AD37" s="198">
        <f>' Übersicht Umsätze '!AD37/' Übersicht Reichweite all'!AD37*1000</f>
        <v>0.83204292039058592</v>
      </c>
      <c r="AE37" s="187">
        <f>' Übersicht Umsätze '!AE37/' Übersicht Reichweite all'!AE37*1000</f>
        <v>3.6581796897863619</v>
      </c>
      <c r="AF37" s="187">
        <f>' Übersicht Umsätze '!AF37/' Übersicht Reichweite all'!AF37*1000</f>
        <v>2.2173966234401763</v>
      </c>
      <c r="AG37" s="187">
        <f>' Übersicht Umsätze '!AG37/' Übersicht Reichweite all'!AG37*1000</f>
        <v>1.638015280739161</v>
      </c>
      <c r="AH37" s="187">
        <f>' Übersicht Umsätze '!AH37/' Übersicht Reichweite all'!AH37*1000</f>
        <v>5.5279159756771685</v>
      </c>
      <c r="AI37" s="187">
        <f>' Übersicht Umsätze '!AI37/' Übersicht Reichweite all'!AI37*1000</f>
        <v>24.875621890547265</v>
      </c>
      <c r="AJ37" s="187" t="e">
        <f>' Übersicht Umsätze '!AJ37/' Übersicht Reichweite all'!AJ37*1000</f>
        <v>#DIV/0!</v>
      </c>
      <c r="AK37" s="187" t="e">
        <f>' Übersicht Umsätze '!AK37/' Übersicht Reichweite all'!AK37*1000</f>
        <v>#DIV/0!</v>
      </c>
      <c r="AL37" s="187" t="e">
        <f>' Übersicht Umsätze '!AL37/' Übersicht Reichweite all'!AL37*1000</f>
        <v>#DIV/0!</v>
      </c>
      <c r="AM37" s="187" t="e">
        <f>' Übersicht Umsätze '!AM37/' Übersicht Reichweite all'!AM37*1000</f>
        <v>#DIV/0!</v>
      </c>
      <c r="AN37" s="187" t="e">
        <f>' Übersicht Umsätze '!AN37/' Übersicht Reichweite all'!AN37*1000</f>
        <v>#DIV/0!</v>
      </c>
      <c r="AO37" s="187" t="e">
        <f>' Übersicht Umsätze '!AO37/' Übersicht Reichweite all'!AO37*1000</f>
        <v>#DIV/0!</v>
      </c>
      <c r="AP37" s="187" t="e">
        <f>' Übersicht Umsätze '!AP37/' Übersicht Reichweite all'!AP37*1000</f>
        <v>#DIV/0!</v>
      </c>
      <c r="AQ37" s="198">
        <f>' Übersicht Umsätze '!AQ37/' Übersicht Reichweite all'!AQ37*1000</f>
        <v>4.1289454367506728</v>
      </c>
    </row>
    <row r="38" spans="1:43">
      <c r="A38" s="35"/>
      <c r="B38" s="33" t="s">
        <v>37</v>
      </c>
      <c r="C38" s="58" t="s">
        <v>108</v>
      </c>
      <c r="D38" s="33" t="s">
        <v>40</v>
      </c>
      <c r="E38" s="186">
        <f>' Übersicht Umsätze '!E38/' Übersicht Reichweite all'!E38*1000</f>
        <v>0.66223076406259063</v>
      </c>
      <c r="F38" s="186">
        <f>' Übersicht Umsätze '!F38/' Übersicht Reichweite all'!F38*1000</f>
        <v>1.4894000977782371</v>
      </c>
      <c r="G38" s="186">
        <f>' Übersicht Umsätze '!G38/' Übersicht Reichweite all'!G38*1000</f>
        <v>1.372550495468591</v>
      </c>
      <c r="H38" s="186">
        <f>' Übersicht Umsätze '!H38/' Übersicht Reichweite all'!H38*1000</f>
        <v>1.1998835283802782</v>
      </c>
      <c r="I38" s="186">
        <f>' Übersicht Umsätze '!I38/' Übersicht Reichweite all'!I38*1000</f>
        <v>1.51968004525408</v>
      </c>
      <c r="J38" s="186">
        <f>' Übersicht Umsätze '!J38/' Übersicht Reichweite all'!J38*1000</f>
        <v>1.4505156610275169</v>
      </c>
      <c r="K38" s="186">
        <f>' Übersicht Umsätze '!K38/' Übersicht Reichweite all'!K38*1000</f>
        <v>5.0902879301262125</v>
      </c>
      <c r="L38" s="186">
        <f>' Übersicht Umsätze '!L38/' Übersicht Reichweite all'!L38*1000</f>
        <v>1.2609866152838003</v>
      </c>
      <c r="M38" s="186">
        <f>' Übersicht Umsätze '!M38/' Übersicht Reichweite all'!M38*1000</f>
        <v>1.2131080446435538</v>
      </c>
      <c r="N38" s="186">
        <f>' Übersicht Umsätze '!N38/' Übersicht Reichweite all'!N38*1000</f>
        <v>1.1870240178953417</v>
      </c>
      <c r="O38" s="186">
        <f>' Übersicht Umsätze '!O38/' Übersicht Reichweite all'!O38*1000</f>
        <v>1.3575510277624663</v>
      </c>
      <c r="P38" s="186">
        <f>' Übersicht Umsätze '!P38/' Übersicht Reichweite all'!P38*1000</f>
        <v>1.0931656683169626</v>
      </c>
      <c r="Q38" s="197">
        <f>' Übersicht Umsätze '!Q38/' Übersicht Reichweite all'!Q38*1000</f>
        <v>1.3497574752229635</v>
      </c>
      <c r="R38" s="186">
        <f>' Übersicht Umsätze '!R38/' Übersicht Reichweite all'!R38*1000</f>
        <v>0.86378272393800937</v>
      </c>
      <c r="S38" s="186">
        <f>' Übersicht Umsätze '!S38/' Übersicht Reichweite all'!S38*1000</f>
        <v>0.97091114735451989</v>
      </c>
      <c r="T38" s="186">
        <f>' Übersicht Umsätze '!T38/' Übersicht Reichweite all'!T38*1000</f>
        <v>1.2586065976950449</v>
      </c>
      <c r="U38" s="186">
        <f>' Übersicht Umsätze '!U38/' Übersicht Reichweite all'!U38*1000</f>
        <v>1.2166552168686313</v>
      </c>
      <c r="V38" s="186">
        <f>' Übersicht Umsätze '!V38/' Übersicht Reichweite all'!V38*1000</f>
        <v>1.46113524227599</v>
      </c>
      <c r="W38" s="186">
        <f>' Übersicht Umsätze '!W38/' Übersicht Reichweite all'!W38*1000</f>
        <v>1.3840308953874603</v>
      </c>
      <c r="X38" s="186">
        <f>' Übersicht Umsätze '!X38/' Übersicht Reichweite all'!X38*1000</f>
        <v>1.3082772008516157</v>
      </c>
      <c r="Y38" s="186">
        <f>' Übersicht Umsätze '!Y38/' Übersicht Reichweite all'!Y38*1000</f>
        <v>1.520762858104983</v>
      </c>
      <c r="Z38" s="186">
        <f>' Übersicht Umsätze '!Z38/' Übersicht Reichweite all'!Z38*1000</f>
        <v>1.5212757022077728</v>
      </c>
      <c r="AA38" s="186">
        <f>' Übersicht Umsätze '!AA38/' Übersicht Reichweite all'!AA38*1000</f>
        <v>1.8169133623684328</v>
      </c>
      <c r="AB38" s="186">
        <f>' Übersicht Umsätze '!AB38/' Übersicht Reichweite all'!AB38*1000</f>
        <v>2.7600049396447948</v>
      </c>
      <c r="AC38" s="186">
        <f>' Übersicht Umsätze '!AC38/' Übersicht Reichweite all'!AC38*1000</f>
        <v>1.9873101417597914</v>
      </c>
      <c r="AD38" s="197">
        <f>' Übersicht Umsätze '!AD38/' Übersicht Reichweite all'!AD38*1000</f>
        <v>1.3566147580234258</v>
      </c>
      <c r="AE38" s="186">
        <f>' Übersicht Umsätze '!AE38/' Übersicht Reichweite all'!AE38*1000</f>
        <v>1.4564881514636998</v>
      </c>
      <c r="AF38" s="186">
        <f>' Übersicht Umsätze '!AF38/' Übersicht Reichweite all'!AF38*1000</f>
        <v>1.6343995907046132</v>
      </c>
      <c r="AG38" s="186">
        <f>' Übersicht Umsätze '!AG38/' Übersicht Reichweite all'!AG38*1000</f>
        <v>1.6785357047498737</v>
      </c>
      <c r="AH38" s="186">
        <f>' Übersicht Umsätze '!AH38/' Übersicht Reichweite all'!AH38*1000</f>
        <v>1.6188770766544069</v>
      </c>
      <c r="AI38" s="186">
        <f>' Übersicht Umsätze '!AI38/' Übersicht Reichweite all'!AI38*1000</f>
        <v>1.7316295469331042</v>
      </c>
      <c r="AJ38" s="186" t="e">
        <f>' Übersicht Umsätze '!AJ38/' Übersicht Reichweite all'!AJ38*1000</f>
        <v>#DIV/0!</v>
      </c>
      <c r="AK38" s="186" t="e">
        <f>' Übersicht Umsätze '!AK38/' Übersicht Reichweite all'!AK38*1000</f>
        <v>#DIV/0!</v>
      </c>
      <c r="AL38" s="186" t="e">
        <f>' Übersicht Umsätze '!AL38/' Übersicht Reichweite all'!AL38*1000</f>
        <v>#DIV/0!</v>
      </c>
      <c r="AM38" s="186" t="e">
        <f>' Übersicht Umsätze '!AM38/' Übersicht Reichweite all'!AM38*1000</f>
        <v>#DIV/0!</v>
      </c>
      <c r="AN38" s="186" t="e">
        <f>' Übersicht Umsätze '!AN38/' Übersicht Reichweite all'!AN38*1000</f>
        <v>#DIV/0!</v>
      </c>
      <c r="AO38" s="186" t="e">
        <f>' Übersicht Umsätze '!AO38/' Übersicht Reichweite all'!AO38*1000</f>
        <v>#DIV/0!</v>
      </c>
      <c r="AP38" s="186" t="e">
        <f>' Übersicht Umsätze '!AP38/' Übersicht Reichweite all'!AP38*1000</f>
        <v>#DIV/0!</v>
      </c>
      <c r="AQ38" s="197">
        <f>' Übersicht Umsätze '!AQ38/' Übersicht Reichweite all'!AQ38*1000</f>
        <v>1.6126123638500749</v>
      </c>
    </row>
    <row r="39" spans="1:43">
      <c r="A39" s="35"/>
      <c r="B39" s="33" t="s">
        <v>37</v>
      </c>
      <c r="C39" s="58" t="s">
        <v>15</v>
      </c>
      <c r="D39" s="33" t="s">
        <v>40</v>
      </c>
      <c r="E39" s="186">
        <f>' Übersicht Umsätze '!E39/' Übersicht Reichweite all'!E39*1000</f>
        <v>0.15233399110369494</v>
      </c>
      <c r="F39" s="186">
        <f>' Übersicht Umsätze '!F39/' Übersicht Reichweite all'!F39*1000</f>
        <v>0.32315296338941241</v>
      </c>
      <c r="G39" s="186">
        <f>' Übersicht Umsätze '!G39/' Übersicht Reichweite all'!G39*1000</f>
        <v>0.2178481726382695</v>
      </c>
      <c r="H39" s="186">
        <f>' Übersicht Umsätze '!H39/' Übersicht Reichweite all'!H39*1000</f>
        <v>8.9069709977531442E-2</v>
      </c>
      <c r="I39" s="186">
        <f>' Übersicht Umsätze '!I39/' Übersicht Reichweite all'!I39*1000</f>
        <v>0.14297336950786524</v>
      </c>
      <c r="J39" s="186">
        <f>' Übersicht Umsätze '!J39/' Übersicht Reichweite all'!J39*1000</f>
        <v>7.0556923849388858E-2</v>
      </c>
      <c r="K39" s="186">
        <f>' Übersicht Umsätze '!K39/' Übersicht Reichweite all'!K39*1000</f>
        <v>3.9544604336461311E-3</v>
      </c>
      <c r="L39" s="186">
        <f>' Übersicht Umsätze '!L39/' Übersicht Reichweite all'!L39*1000</f>
        <v>0.19322072713664115</v>
      </c>
      <c r="M39" s="186">
        <f>' Übersicht Umsätze '!M39/' Übersicht Reichweite all'!M39*1000</f>
        <v>0.14315832069563492</v>
      </c>
      <c r="N39" s="186">
        <f>' Übersicht Umsätze '!N39/' Übersicht Reichweite all'!N39*1000</f>
        <v>0.58954952317641152</v>
      </c>
      <c r="O39" s="186">
        <f>' Übersicht Umsätze '!O39/' Übersicht Reichweite all'!O39*1000</f>
        <v>0.6319444739966551</v>
      </c>
      <c r="P39" s="186">
        <f>' Übersicht Umsätze '!P39/' Übersicht Reichweite all'!P39*1000</f>
        <v>0.21950294279933788</v>
      </c>
      <c r="Q39" s="197">
        <f>' Übersicht Umsätze '!Q39/' Übersicht Reichweite all'!Q39*1000</f>
        <v>0.20639621987785964</v>
      </c>
      <c r="R39" s="186">
        <f>' Übersicht Umsätze '!R39/' Übersicht Reichweite all'!R39*1000</f>
        <v>0.25432668655722779</v>
      </c>
      <c r="S39" s="186">
        <f>' Übersicht Umsätze '!S39/' Übersicht Reichweite all'!S39*1000</f>
        <v>0.22745925289493596</v>
      </c>
      <c r="T39" s="186">
        <f>' Übersicht Umsätze '!T39/' Übersicht Reichweite all'!T39*1000</f>
        <v>0.82893608643731043</v>
      </c>
      <c r="U39" s="186">
        <f>' Übersicht Umsätze '!U39/' Übersicht Reichweite all'!U39*1000</f>
        <v>0.53556987312349702</v>
      </c>
      <c r="V39" s="186">
        <f>' Übersicht Umsätze '!V39/' Übersicht Reichweite all'!V39*1000</f>
        <v>0.64341369570392681</v>
      </c>
      <c r="W39" s="186">
        <f>' Übersicht Umsätze '!W39/' Übersicht Reichweite all'!W39*1000</f>
        <v>0.93431748108007096</v>
      </c>
      <c r="X39" s="186">
        <f>' Übersicht Umsätze '!X39/' Übersicht Reichweite all'!X39*1000</f>
        <v>0.95125982473037729</v>
      </c>
      <c r="Y39" s="186">
        <f>' Übersicht Umsätze '!Y39/' Übersicht Reichweite all'!Y39*1000</f>
        <v>0.98636838886587364</v>
      </c>
      <c r="Z39" s="186">
        <f>' Übersicht Umsätze '!Z39/' Übersicht Reichweite all'!Z39*1000</f>
        <v>0.91751536838242043</v>
      </c>
      <c r="AA39" s="186">
        <f>' Übersicht Umsätze '!AA39/' Übersicht Reichweite all'!AA39*1000</f>
        <v>0.67690705545430885</v>
      </c>
      <c r="AB39" s="186">
        <f>' Übersicht Umsätze '!AB39/' Übersicht Reichweite all'!AB39*1000</f>
        <v>1.2528188423953897</v>
      </c>
      <c r="AC39" s="186">
        <f>' Übersicht Umsätze '!AC39/' Übersicht Reichweite all'!AC39*1000</f>
        <v>0.9615516696657922</v>
      </c>
      <c r="AD39" s="197">
        <f>' Übersicht Umsätze '!AD39/' Übersicht Reichweite all'!AD39*1000</f>
        <v>0.62463738422623782</v>
      </c>
      <c r="AE39" s="186">
        <f>' Übersicht Umsätze '!AE39/' Übersicht Reichweite all'!AE39*1000</f>
        <v>0.76281231296428864</v>
      </c>
      <c r="AF39" s="186">
        <f>' Übersicht Umsätze '!AF39/' Übersicht Reichweite all'!AF39*1000</f>
        <v>0.3568560977785708</v>
      </c>
      <c r="AG39" s="186">
        <f>' Übersicht Umsätze '!AG39/' Übersicht Reichweite all'!AG39*1000</f>
        <v>0</v>
      </c>
      <c r="AH39" s="186">
        <f>' Übersicht Umsätze '!AH39/' Übersicht Reichweite all'!AH39*1000</f>
        <v>0</v>
      </c>
      <c r="AI39" s="186">
        <f>' Übersicht Umsätze '!AI39/' Übersicht Reichweite all'!AI39*1000</f>
        <v>0</v>
      </c>
      <c r="AJ39" s="186" t="e">
        <f>' Übersicht Umsätze '!AJ39/' Übersicht Reichweite all'!AJ39*1000</f>
        <v>#DIV/0!</v>
      </c>
      <c r="AK39" s="186" t="e">
        <f>' Übersicht Umsätze '!AK39/' Übersicht Reichweite all'!AK39*1000</f>
        <v>#DIV/0!</v>
      </c>
      <c r="AL39" s="186" t="e">
        <f>' Übersicht Umsätze '!AL39/' Übersicht Reichweite all'!AL39*1000</f>
        <v>#DIV/0!</v>
      </c>
      <c r="AM39" s="186" t="e">
        <f>' Übersicht Umsätze '!AM39/' Übersicht Reichweite all'!AM39*1000</f>
        <v>#DIV/0!</v>
      </c>
      <c r="AN39" s="186" t="e">
        <f>' Übersicht Umsätze '!AN39/' Übersicht Reichweite all'!AN39*1000</f>
        <v>#DIV/0!</v>
      </c>
      <c r="AO39" s="186" t="e">
        <f>' Übersicht Umsätze '!AO39/' Übersicht Reichweite all'!AO39*1000</f>
        <v>#DIV/0!</v>
      </c>
      <c r="AP39" s="186" t="e">
        <f>' Übersicht Umsätze '!AP39/' Übersicht Reichweite all'!AP39*1000</f>
        <v>#DIV/0!</v>
      </c>
      <c r="AQ39" s="197">
        <f>' Übersicht Umsätze '!AQ39/' Übersicht Reichweite all'!AQ39*1000</f>
        <v>0.30243190834534167</v>
      </c>
    </row>
    <row r="40" spans="1:43">
      <c r="A40" s="35"/>
      <c r="B40" s="33" t="s">
        <v>37</v>
      </c>
      <c r="C40" s="59" t="s">
        <v>109</v>
      </c>
      <c r="D40" s="33" t="s">
        <v>40</v>
      </c>
      <c r="E40" s="186">
        <f>' Übersicht Umsätze '!E40/' Übersicht Reichweite all'!E40*1000</f>
        <v>3.0655512964829542E-3</v>
      </c>
      <c r="F40" s="186">
        <f>' Übersicht Umsätze '!F40/' Übersicht Reichweite all'!F40*1000</f>
        <v>8.8780332244412959E-3</v>
      </c>
      <c r="G40" s="186">
        <f>' Übersicht Umsätze '!G40/' Übersicht Reichweite all'!G40*1000</f>
        <v>1.889644746787604E-2</v>
      </c>
      <c r="H40" s="186">
        <f>' Übersicht Umsätze '!H40/' Übersicht Reichweite all'!H40*1000</f>
        <v>1.6522944587000737E-2</v>
      </c>
      <c r="I40" s="186">
        <f>' Übersicht Umsätze '!I40/' Übersicht Reichweite all'!I40*1000</f>
        <v>3.4191670908966576E-2</v>
      </c>
      <c r="J40" s="186">
        <f>' Übersicht Umsätze '!J40/' Übersicht Reichweite all'!J40*1000</f>
        <v>1.8189226157562351E-2</v>
      </c>
      <c r="K40" s="186">
        <f>' Übersicht Umsätze '!K40/' Übersicht Reichweite all'!K40*1000</f>
        <v>1.2544895043135622E-3</v>
      </c>
      <c r="L40" s="186">
        <f>' Übersicht Umsätze '!L40/' Übersicht Reichweite all'!L40*1000</f>
        <v>1.4916558854088264E-2</v>
      </c>
      <c r="M40" s="186">
        <f>' Übersicht Umsätze '!M40/' Übersicht Reichweite all'!M40*1000</f>
        <v>1.0243792005949595E-2</v>
      </c>
      <c r="N40" s="186">
        <f>' Übersicht Umsätze '!N40/' Übersicht Reichweite all'!N40*1000</f>
        <v>5.8247153093751551E-2</v>
      </c>
      <c r="O40" s="186">
        <f>' Übersicht Umsätze '!O40/' Übersicht Reichweite all'!O40*1000</f>
        <v>5.4570356845403969E-2</v>
      </c>
      <c r="P40" s="186">
        <f>' Übersicht Umsätze '!P40/' Übersicht Reichweite all'!P40*1000</f>
        <v>6.1648780860172642E-2</v>
      </c>
      <c r="Q40" s="197">
        <f>' Übersicht Umsätze '!Q40/' Übersicht Reichweite all'!Q40*1000</f>
        <v>2.0103281631219438E-2</v>
      </c>
      <c r="R40" s="186">
        <f>' Übersicht Umsätze '!R40/' Übersicht Reichweite all'!R40*1000</f>
        <v>2.8051970074451975E-2</v>
      </c>
      <c r="S40" s="186">
        <f>' Übersicht Umsätze '!S40/' Übersicht Reichweite all'!S40*1000</f>
        <v>4.6082105687099979E-2</v>
      </c>
      <c r="T40" s="186">
        <f>' Übersicht Umsätze '!T40/' Übersicht Reichweite all'!T40*1000</f>
        <v>4.2040260556192643E-2</v>
      </c>
      <c r="U40" s="186">
        <f>' Übersicht Umsätze '!U40/' Übersicht Reichweite all'!U40*1000</f>
        <v>6.3873428414254307E-2</v>
      </c>
      <c r="V40" s="186">
        <f>' Übersicht Umsätze '!V40/' Übersicht Reichweite all'!V40*1000</f>
        <v>5.2341649064363942E-2</v>
      </c>
      <c r="W40" s="186">
        <f>' Übersicht Umsätze '!W40/' Übersicht Reichweite all'!W40*1000</f>
        <v>6.1875205445018081E-2</v>
      </c>
      <c r="X40" s="186">
        <f>' Übersicht Umsätze '!X40/' Übersicht Reichweite all'!X40*1000</f>
        <v>5.2937291807557067E-2</v>
      </c>
      <c r="Y40" s="186">
        <f>' Übersicht Umsätze '!Y40/' Übersicht Reichweite all'!Y40*1000</f>
        <v>5.3615354865736424E-2</v>
      </c>
      <c r="Z40" s="186">
        <f>' Übersicht Umsätze '!Z40/' Übersicht Reichweite all'!Z40*1000</f>
        <v>6.1624014632006036E-2</v>
      </c>
      <c r="AA40" s="186">
        <f>' Übersicht Umsätze '!AA40/' Übersicht Reichweite all'!AA40*1000</f>
        <v>8.319971854723783E-2</v>
      </c>
      <c r="AB40" s="186">
        <f>' Übersicht Umsätze '!AB40/' Übersicht Reichweite all'!AB40*1000</f>
        <v>0.12425312224798749</v>
      </c>
      <c r="AC40" s="186">
        <f>' Übersicht Umsätze '!AC40/' Übersicht Reichweite all'!AC40*1000</f>
        <v>9.037178954217652E-2</v>
      </c>
      <c r="AD40" s="197">
        <f>' Übersicht Umsätze '!AD40/' Übersicht Reichweite all'!AD40*1000</f>
        <v>5.5559981797225717E-2</v>
      </c>
      <c r="AE40" s="186">
        <f>' Übersicht Umsätze '!AE40/' Übersicht Reichweite all'!AE40*1000</f>
        <v>5.4663328559402639E-2</v>
      </c>
      <c r="AF40" s="186">
        <f>' Übersicht Umsätze '!AF40/' Übersicht Reichweite all'!AF40*1000</f>
        <v>6.8265598689300516E-2</v>
      </c>
      <c r="AG40" s="186">
        <f>' Übersicht Umsätze '!AG40/' Übersicht Reichweite all'!AG40*1000</f>
        <v>3.952881650723377E-2</v>
      </c>
      <c r="AH40" s="186">
        <f>' Übersicht Umsätze '!AH40/' Übersicht Reichweite all'!AH40*1000</f>
        <v>0.10503807630265971</v>
      </c>
      <c r="AI40" s="186">
        <f>' Übersicht Umsätze '!AI40/' Übersicht Reichweite all'!AI40*1000</f>
        <v>0.10845156680616515</v>
      </c>
      <c r="AJ40" s="186" t="e">
        <f>' Übersicht Umsätze '!AJ40/' Übersicht Reichweite all'!AJ40*1000</f>
        <v>#DIV/0!</v>
      </c>
      <c r="AK40" s="186" t="e">
        <f>' Übersicht Umsätze '!AK40/' Übersicht Reichweite all'!AK40*1000</f>
        <v>#DIV/0!</v>
      </c>
      <c r="AL40" s="186" t="e">
        <f>' Übersicht Umsätze '!AL40/' Übersicht Reichweite all'!AL40*1000</f>
        <v>#DIV/0!</v>
      </c>
      <c r="AM40" s="186" t="e">
        <f>' Übersicht Umsätze '!AM40/' Übersicht Reichweite all'!AM40*1000</f>
        <v>#DIV/0!</v>
      </c>
      <c r="AN40" s="186" t="e">
        <f>' Übersicht Umsätze '!AN40/' Übersicht Reichweite all'!AN40*1000</f>
        <v>#DIV/0!</v>
      </c>
      <c r="AO40" s="186" t="e">
        <f>' Übersicht Umsätze '!AO40/' Übersicht Reichweite all'!AO40*1000</f>
        <v>#DIV/0!</v>
      </c>
      <c r="AP40" s="186" t="e">
        <f>' Übersicht Umsätze '!AP40/' Übersicht Reichweite all'!AP40*1000</f>
        <v>#DIV/0!</v>
      </c>
      <c r="AQ40" s="197">
        <f>' Übersicht Umsätze '!AQ40/' Übersicht Reichweite all'!AQ40*1000</f>
        <v>7.749687803147054E-2</v>
      </c>
    </row>
    <row r="41" spans="1:43">
      <c r="A41" s="35"/>
      <c r="B41" s="71"/>
      <c r="C41" s="70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0"/>
    </row>
  </sheetData>
  <autoFilter ref="B7:P40" xr:uid="{4A07C1ED-1F4D-4233-AF21-56B174098428}">
    <sortState xmlns:xlrd2="http://schemas.microsoft.com/office/spreadsheetml/2017/richdata2" ref="B8:P42">
      <sortCondition ref="B7:B18"/>
    </sortState>
  </autoFilter>
  <mergeCells count="1">
    <mergeCell ref="B2:B4"/>
  </mergeCells>
  <conditionalFormatting sqref="B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P41">
    <cfRule type="cellIs" dxfId="27" priority="4" stopIfTrue="1" operator="equal">
      <formula>0</formula>
    </cfRule>
  </conditionalFormatting>
  <conditionalFormatting sqref="L8:P10">
    <cfRule type="cellIs" dxfId="26" priority="6" stopIfTrue="1" operator="equal">
      <formula>0</formula>
    </cfRule>
  </conditionalFormatting>
  <conditionalFormatting sqref="L23:P25">
    <cfRule type="cellIs" dxfId="25" priority="5" stopIfTrue="1" operator="equal">
      <formula>0</formula>
    </cfRule>
  </conditionalFormatting>
  <conditionalFormatting sqref="Q8:AQ40">
    <cfRule type="cellIs" dxfId="24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0E59-21EB-544A-A482-070D5FDE3D25}">
  <sheetPr>
    <tabColor theme="8" tint="-0.499984740745262"/>
  </sheetPr>
  <dimension ref="A1:AQ41"/>
  <sheetViews>
    <sheetView showGridLines="0" zoomScale="106" zoomScaleNormal="106" workbookViewId="0">
      <pane xSplit="4" ySplit="8" topLeftCell="X9" activePane="bottomRight" state="frozen"/>
      <selection pane="topRight" activeCell="F1" sqref="F1"/>
      <selection pane="bottomLeft" activeCell="A8" sqref="A8"/>
      <selection pane="bottomRight" activeCell="AE38" sqref="AE38"/>
    </sheetView>
  </sheetViews>
  <sheetFormatPr baseColWidth="10" defaultColWidth="11.42578125" defaultRowHeight="12.75" outlineLevelCol="1"/>
  <cols>
    <col min="1" max="1" width="1.7109375" style="29" customWidth="1"/>
    <col min="2" max="2" width="18.140625" style="29" bestFit="1" customWidth="1"/>
    <col min="3" max="3" width="11.140625" style="29" customWidth="1"/>
    <col min="4" max="4" width="9.85546875" style="29" customWidth="1"/>
    <col min="5" max="16" width="12.7109375" style="29" customWidth="1" outlineLevel="1"/>
    <col min="17" max="17" width="14.140625" style="29" bestFit="1" customWidth="1"/>
    <col min="18" max="16384" width="11.42578125" style="29"/>
  </cols>
  <sheetData>
    <row r="1" spans="1:43" s="27" customFormat="1">
      <c r="A1" s="26"/>
      <c r="B1" s="28"/>
      <c r="C1" s="28"/>
      <c r="Q1" s="28"/>
    </row>
    <row r="2" spans="1:43" s="27" customFormat="1" ht="12.95" customHeight="1">
      <c r="A2" s="26"/>
      <c r="B2" s="28"/>
      <c r="C2" s="28"/>
    </row>
    <row r="3" spans="1:43" s="27" customFormat="1" ht="12.95" customHeight="1">
      <c r="A3" s="26"/>
      <c r="B3" s="222" t="s">
        <v>161</v>
      </c>
      <c r="C3" s="120" t="s">
        <v>108</v>
      </c>
      <c r="D3" s="121" t="s">
        <v>156</v>
      </c>
      <c r="E3" s="122">
        <f t="shared" ref="E3:AQ3" si="0">SUMIF($C$9:$C$51,$C$3,E$9:E$51)</f>
        <v>0</v>
      </c>
      <c r="F3" s="122">
        <f t="shared" si="0"/>
        <v>30718.626029185572</v>
      </c>
      <c r="G3" s="122">
        <f t="shared" si="0"/>
        <v>44350.96860123142</v>
      </c>
      <c r="H3" s="122">
        <f t="shared" si="0"/>
        <v>82615.338694450184</v>
      </c>
      <c r="I3" s="122">
        <f t="shared" si="0"/>
        <v>112238.98733405427</v>
      </c>
      <c r="J3" s="122">
        <f t="shared" si="0"/>
        <v>71006.199413402646</v>
      </c>
      <c r="K3" s="122">
        <f t="shared" si="0"/>
        <v>56149.674152275547</v>
      </c>
      <c r="L3" s="122">
        <f t="shared" si="0"/>
        <v>63300.501152596167</v>
      </c>
      <c r="M3" s="122">
        <f t="shared" si="0"/>
        <v>67817.833997239868</v>
      </c>
      <c r="N3" s="122">
        <f t="shared" si="0"/>
        <v>59694.132046355415</v>
      </c>
      <c r="O3" s="122">
        <f t="shared" si="0"/>
        <v>78807.741969779599</v>
      </c>
      <c r="P3" s="122">
        <f t="shared" si="0"/>
        <v>74352.473064905658</v>
      </c>
      <c r="Q3" s="134">
        <f t="shared" si="0"/>
        <v>741052.47645547637</v>
      </c>
      <c r="R3" s="123">
        <f t="shared" si="0"/>
        <v>82969.498475418281</v>
      </c>
      <c r="S3" s="122">
        <f t="shared" si="0"/>
        <v>79837.356605852823</v>
      </c>
      <c r="T3" s="122">
        <f t="shared" si="0"/>
        <v>54738.234749470619</v>
      </c>
      <c r="U3" s="122">
        <f t="shared" si="0"/>
        <v>50421.648805970144</v>
      </c>
      <c r="V3" s="122">
        <f t="shared" si="0"/>
        <v>63538.893283582089</v>
      </c>
      <c r="W3" s="122">
        <f t="shared" si="0"/>
        <v>56109.160895522386</v>
      </c>
      <c r="X3" s="122">
        <f t="shared" si="0"/>
        <v>56163.234253731338</v>
      </c>
      <c r="Y3" s="122">
        <f t="shared" si="0"/>
        <v>50738.951716417905</v>
      </c>
      <c r="Z3" s="122">
        <f t="shared" si="0"/>
        <v>53094.949104477608</v>
      </c>
      <c r="AA3" s="122">
        <f t="shared" si="0"/>
        <v>50106.105044776123</v>
      </c>
      <c r="AB3" s="122">
        <f t="shared" si="0"/>
        <v>50476.318880597013</v>
      </c>
      <c r="AC3" s="122">
        <f t="shared" si="0"/>
        <v>59889.694179104474</v>
      </c>
      <c r="AD3" s="134">
        <f t="shared" si="0"/>
        <v>708084.04599492101</v>
      </c>
      <c r="AE3" s="123">
        <f t="shared" si="0"/>
        <v>66500.424402985082</v>
      </c>
      <c r="AF3" s="122">
        <f t="shared" si="0"/>
        <v>66800.573880597018</v>
      </c>
      <c r="AG3" s="122">
        <f t="shared" si="0"/>
        <v>57958.904850746272</v>
      </c>
      <c r="AH3" s="122">
        <f t="shared" si="0"/>
        <v>61821.282537313433</v>
      </c>
      <c r="AI3" s="122">
        <f t="shared" si="0"/>
        <v>80491.343701492544</v>
      </c>
      <c r="AJ3" s="122">
        <f t="shared" si="0"/>
        <v>71070.831940298507</v>
      </c>
      <c r="AK3" s="122">
        <f t="shared" si="0"/>
        <v>43195.753283582097</v>
      </c>
      <c r="AL3" s="122">
        <f t="shared" si="0"/>
        <v>49186.840373134335</v>
      </c>
      <c r="AM3" s="122">
        <f t="shared" si="0"/>
        <v>44585.023208955223</v>
      </c>
      <c r="AN3" s="122">
        <f t="shared" si="0"/>
        <v>2920.57</v>
      </c>
      <c r="AO3" s="122">
        <f t="shared" si="0"/>
        <v>0</v>
      </c>
      <c r="AP3" s="122">
        <f t="shared" si="0"/>
        <v>0</v>
      </c>
      <c r="AQ3" s="134">
        <f t="shared" si="0"/>
        <v>544531.54817910434</v>
      </c>
    </row>
    <row r="4" spans="1:43" s="27" customFormat="1" ht="12.95" customHeight="1">
      <c r="A4" s="26"/>
      <c r="B4" s="223"/>
      <c r="C4" s="112" t="s">
        <v>15</v>
      </c>
      <c r="D4" s="113" t="s">
        <v>156</v>
      </c>
      <c r="E4" s="114">
        <f t="shared" ref="E4:AQ4" si="1">SUMIF($C$9:$C$51,$C$4,E$9:E$51)</f>
        <v>0</v>
      </c>
      <c r="F4" s="114">
        <f t="shared" si="1"/>
        <v>308.00074967363344</v>
      </c>
      <c r="G4" s="114">
        <f t="shared" si="1"/>
        <v>248.54811349632922</v>
      </c>
      <c r="H4" s="114">
        <f t="shared" si="1"/>
        <v>211.29244844851362</v>
      </c>
      <c r="I4" s="114">
        <f t="shared" si="1"/>
        <v>427.22364889065585</v>
      </c>
      <c r="J4" s="114">
        <f t="shared" si="1"/>
        <v>311.99533135325788</v>
      </c>
      <c r="K4" s="114">
        <f t="shared" si="1"/>
        <v>1727.9486690201315</v>
      </c>
      <c r="L4" s="114">
        <f t="shared" si="1"/>
        <v>1766.8016521533041</v>
      </c>
      <c r="M4" s="114">
        <f t="shared" si="1"/>
        <v>3299.1434328358209</v>
      </c>
      <c r="N4" s="114">
        <f t="shared" si="1"/>
        <v>4644.1663669428162</v>
      </c>
      <c r="O4" s="114">
        <f t="shared" si="1"/>
        <v>9235.0336632281942</v>
      </c>
      <c r="P4" s="114">
        <f t="shared" si="1"/>
        <v>4989.8166135800593</v>
      </c>
      <c r="Q4" s="135">
        <f t="shared" si="1"/>
        <v>27169.970689622714</v>
      </c>
      <c r="R4" s="124">
        <f t="shared" si="1"/>
        <v>18142.246753838877</v>
      </c>
      <c r="S4" s="114">
        <f t="shared" si="1"/>
        <v>42192.096294279552</v>
      </c>
      <c r="T4" s="114">
        <f t="shared" si="1"/>
        <v>13142.990079451556</v>
      </c>
      <c r="U4" s="114">
        <f t="shared" si="1"/>
        <v>7771.1001492537316</v>
      </c>
      <c r="V4" s="114">
        <f t="shared" si="1"/>
        <v>8238.3034328358208</v>
      </c>
      <c r="W4" s="114">
        <f t="shared" si="1"/>
        <v>6169.3046268656708</v>
      </c>
      <c r="X4" s="114">
        <f t="shared" si="1"/>
        <v>4502.501268656717</v>
      </c>
      <c r="Y4" s="114">
        <f t="shared" si="1"/>
        <v>6110.1635074626865</v>
      </c>
      <c r="Z4" s="114">
        <f t="shared" si="1"/>
        <v>5529.6508955223881</v>
      </c>
      <c r="AA4" s="114">
        <f t="shared" si="1"/>
        <v>3255.4148507462692</v>
      </c>
      <c r="AB4" s="114">
        <f t="shared" si="1"/>
        <v>2862.0832835820893</v>
      </c>
      <c r="AC4" s="114">
        <f t="shared" si="1"/>
        <v>3005.9535820895526</v>
      </c>
      <c r="AD4" s="135">
        <f t="shared" si="1"/>
        <v>120921.8087245849</v>
      </c>
      <c r="AE4" s="124">
        <f t="shared" si="1"/>
        <v>1375.8357089552239</v>
      </c>
      <c r="AF4" s="114">
        <f t="shared" si="1"/>
        <v>983.20701492537307</v>
      </c>
      <c r="AG4" s="114">
        <f t="shared" si="1"/>
        <v>986.54485074626848</v>
      </c>
      <c r="AH4" s="114">
        <f t="shared" si="1"/>
        <v>934.93716417910446</v>
      </c>
      <c r="AI4" s="114">
        <f t="shared" si="1"/>
        <v>1145.8691791044776</v>
      </c>
      <c r="AJ4" s="114">
        <f t="shared" si="1"/>
        <v>1291.6026119402986</v>
      </c>
      <c r="AK4" s="114">
        <f t="shared" si="1"/>
        <v>2023.9762686567165</v>
      </c>
      <c r="AL4" s="114">
        <f t="shared" si="1"/>
        <v>2704.57</v>
      </c>
      <c r="AM4" s="114">
        <f t="shared" si="1"/>
        <v>1196.3499999999999</v>
      </c>
      <c r="AN4" s="114">
        <f t="shared" si="1"/>
        <v>5.03</v>
      </c>
      <c r="AO4" s="114">
        <f t="shared" si="1"/>
        <v>0</v>
      </c>
      <c r="AP4" s="114">
        <f t="shared" si="1"/>
        <v>0</v>
      </c>
      <c r="AQ4" s="135">
        <f t="shared" si="1"/>
        <v>12647.922798507461</v>
      </c>
    </row>
    <row r="5" spans="1:43" s="27" customFormat="1">
      <c r="A5"/>
      <c r="B5" s="223"/>
      <c r="C5" s="115" t="s">
        <v>109</v>
      </c>
      <c r="D5" s="83" t="s">
        <v>156</v>
      </c>
      <c r="E5" s="84">
        <f t="shared" ref="E5:AQ5" si="2">SUMIF($C$9:$C$51,$C$5,E$9:E$51)</f>
        <v>0</v>
      </c>
      <c r="F5" s="84">
        <f t="shared" si="2"/>
        <v>1136.1044243669783</v>
      </c>
      <c r="G5" s="84">
        <f t="shared" si="2"/>
        <v>1027.0609704028002</v>
      </c>
      <c r="H5" s="84">
        <f t="shared" si="2"/>
        <v>784.67903987452451</v>
      </c>
      <c r="I5" s="84">
        <f t="shared" si="2"/>
        <v>1155.4633490925289</v>
      </c>
      <c r="J5" s="84">
        <f t="shared" si="2"/>
        <v>1641.8812270280305</v>
      </c>
      <c r="K5" s="84">
        <f t="shared" si="2"/>
        <v>1709.8430493273543</v>
      </c>
      <c r="L5" s="84">
        <f t="shared" si="2"/>
        <v>1049.6301064954737</v>
      </c>
      <c r="M5" s="84">
        <f t="shared" si="2"/>
        <v>775.62771144278611</v>
      </c>
      <c r="N5" s="84">
        <f t="shared" si="2"/>
        <v>1047.7055102040817</v>
      </c>
      <c r="O5" s="84">
        <f t="shared" si="2"/>
        <v>1618.9620755641456</v>
      </c>
      <c r="P5" s="84">
        <f t="shared" si="2"/>
        <v>1257.9079308279568</v>
      </c>
      <c r="Q5" s="136">
        <f t="shared" si="2"/>
        <v>13204.865394626659</v>
      </c>
      <c r="R5" s="125">
        <f t="shared" si="2"/>
        <v>991.28238282650148</v>
      </c>
      <c r="S5" s="84">
        <f t="shared" si="2"/>
        <v>937.44121343737311</v>
      </c>
      <c r="T5" s="84">
        <f t="shared" si="2"/>
        <v>1342.6264179104476</v>
      </c>
      <c r="U5" s="84">
        <f t="shared" si="2"/>
        <v>1276.1866417910448</v>
      </c>
      <c r="V5" s="84">
        <f t="shared" si="2"/>
        <v>1127.9411194029849</v>
      </c>
      <c r="W5" s="84">
        <f t="shared" si="2"/>
        <v>1071.230895522388</v>
      </c>
      <c r="X5" s="84">
        <f t="shared" si="2"/>
        <v>1086.0341044776121</v>
      </c>
      <c r="Y5" s="84">
        <f t="shared" si="2"/>
        <v>894.96470149253719</v>
      </c>
      <c r="Z5" s="84">
        <f t="shared" si="2"/>
        <v>1115.0223880597014</v>
      </c>
      <c r="AA5" s="84">
        <f t="shared" si="2"/>
        <v>1260.9447014925372</v>
      </c>
      <c r="AB5" s="84">
        <f t="shared" si="2"/>
        <v>1120.8237313432837</v>
      </c>
      <c r="AC5" s="84">
        <f t="shared" si="2"/>
        <v>537.37716417910451</v>
      </c>
      <c r="AD5" s="136">
        <f t="shared" si="2"/>
        <v>12761.875461935517</v>
      </c>
      <c r="AE5" s="125">
        <f t="shared" si="2"/>
        <v>472.2294776119403</v>
      </c>
      <c r="AF5" s="84">
        <f t="shared" si="2"/>
        <v>210.1015671641791</v>
      </c>
      <c r="AG5" s="84">
        <f t="shared" si="2"/>
        <v>90.597686567164189</v>
      </c>
      <c r="AH5" s="84">
        <f t="shared" si="2"/>
        <v>77.07179104477612</v>
      </c>
      <c r="AI5" s="84">
        <f t="shared" si="2"/>
        <v>46.158731343283577</v>
      </c>
      <c r="AJ5" s="84">
        <f t="shared" si="2"/>
        <v>80.364179104477614</v>
      </c>
      <c r="AK5" s="84">
        <f t="shared" si="2"/>
        <v>88.432537313432832</v>
      </c>
      <c r="AL5" s="84">
        <f t="shared" si="2"/>
        <v>21.62</v>
      </c>
      <c r="AM5" s="84">
        <f t="shared" si="2"/>
        <v>19.61</v>
      </c>
      <c r="AN5" s="84">
        <f t="shared" si="2"/>
        <v>0.52</v>
      </c>
      <c r="AO5" s="84">
        <f t="shared" si="2"/>
        <v>0</v>
      </c>
      <c r="AP5" s="84">
        <f t="shared" si="2"/>
        <v>0</v>
      </c>
      <c r="AQ5" s="136">
        <f t="shared" si="2"/>
        <v>1106.7059701492537</v>
      </c>
    </row>
    <row r="6" spans="1:43" s="30" customFormat="1" ht="18" customHeight="1">
      <c r="A6"/>
      <c r="B6" s="90"/>
      <c r="C6" s="116" t="s">
        <v>157</v>
      </c>
      <c r="D6" s="117" t="s">
        <v>156</v>
      </c>
      <c r="E6" s="118">
        <f>SUM(E9:E40)</f>
        <v>0</v>
      </c>
      <c r="F6" s="118">
        <f t="shared" ref="F6:P6" si="3">SUM(F9:F40)</f>
        <v>32162.731203226183</v>
      </c>
      <c r="G6" s="118">
        <f t="shared" si="3"/>
        <v>45626.577685130549</v>
      </c>
      <c r="H6" s="118">
        <f t="shared" si="3"/>
        <v>83611.310182773217</v>
      </c>
      <c r="I6" s="118">
        <f t="shared" si="3"/>
        <v>113821.67433203747</v>
      </c>
      <c r="J6" s="118">
        <f t="shared" si="3"/>
        <v>72960.075971783925</v>
      </c>
      <c r="K6" s="118">
        <f t="shared" si="3"/>
        <v>59587.465870623033</v>
      </c>
      <c r="L6" s="118">
        <f t="shared" si="3"/>
        <v>66116.932911244949</v>
      </c>
      <c r="M6" s="118">
        <f t="shared" si="3"/>
        <v>71892.605141518477</v>
      </c>
      <c r="N6" s="118">
        <f t="shared" si="3"/>
        <v>65386.003923502321</v>
      </c>
      <c r="O6" s="118">
        <f t="shared" si="3"/>
        <v>89661.737708571934</v>
      </c>
      <c r="P6" s="118">
        <f t="shared" si="3"/>
        <v>80600.197609313676</v>
      </c>
      <c r="Q6" s="138">
        <f>SUM(Q9:Q40)</f>
        <v>781427.31253972568</v>
      </c>
      <c r="R6" s="126">
        <f>SUM(R9:R40)</f>
        <v>102103.02761208368</v>
      </c>
      <c r="S6" s="118">
        <f t="shared" ref="S6:AC6" si="4">SUM(S9:S40)</f>
        <v>122966.89411356978</v>
      </c>
      <c r="T6" s="118">
        <f t="shared" si="4"/>
        <v>69223.851246832608</v>
      </c>
      <c r="U6" s="118">
        <f t="shared" si="4"/>
        <v>59468.935597014919</v>
      </c>
      <c r="V6" s="118">
        <f t="shared" si="4"/>
        <v>72905.137835820889</v>
      </c>
      <c r="W6" s="118">
        <f t="shared" si="4"/>
        <v>63349.696417910447</v>
      </c>
      <c r="X6" s="118">
        <f t="shared" si="4"/>
        <v>61751.769626865665</v>
      </c>
      <c r="Y6" s="118">
        <f t="shared" si="4"/>
        <v>57744.079925373131</v>
      </c>
      <c r="Z6" s="118">
        <f t="shared" si="4"/>
        <v>59739.62238805971</v>
      </c>
      <c r="AA6" s="118">
        <f t="shared" si="4"/>
        <v>54622.464597014929</v>
      </c>
      <c r="AB6" s="118">
        <f t="shared" si="4"/>
        <v>54459.225895522395</v>
      </c>
      <c r="AC6" s="118">
        <f t="shared" si="4"/>
        <v>63433.024925373131</v>
      </c>
      <c r="AD6" s="138">
        <f>SUM(AD9:AD40)</f>
        <v>841767.73018144129</v>
      </c>
      <c r="AE6" s="126">
        <f>SUM(AE9:AE40)</f>
        <v>68348.48958955225</v>
      </c>
      <c r="AF6" s="118">
        <f t="shared" ref="AF6:AP6" si="5">SUM(AF9:AF40)</f>
        <v>67993.882462686553</v>
      </c>
      <c r="AG6" s="118">
        <f t="shared" si="5"/>
        <v>59036.047388059698</v>
      </c>
      <c r="AH6" s="118">
        <f t="shared" si="5"/>
        <v>62833.291492537312</v>
      </c>
      <c r="AI6" s="118">
        <f t="shared" si="5"/>
        <v>81683.371611940296</v>
      </c>
      <c r="AJ6" s="118">
        <f t="shared" si="5"/>
        <v>72442.798731343268</v>
      </c>
      <c r="AK6" s="118">
        <f t="shared" si="5"/>
        <v>45308.16208955225</v>
      </c>
      <c r="AL6" s="118">
        <f t="shared" si="5"/>
        <v>51913.03037313433</v>
      </c>
      <c r="AM6" s="118">
        <f t="shared" si="5"/>
        <v>45800.983208955215</v>
      </c>
      <c r="AN6" s="118">
        <f t="shared" si="5"/>
        <v>2926.1200000000003</v>
      </c>
      <c r="AO6" s="118">
        <f t="shared" si="5"/>
        <v>0</v>
      </c>
      <c r="AP6" s="118">
        <f t="shared" si="5"/>
        <v>0</v>
      </c>
      <c r="AQ6" s="138">
        <f>SUM(AQ9:AQ40)</f>
        <v>558286.17694776121</v>
      </c>
    </row>
    <row r="7" spans="1:43" s="30" customFormat="1" ht="18" customHeight="1">
      <c r="A7"/>
      <c r="C7" s="80"/>
      <c r="D7" s="81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9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9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92"/>
    </row>
    <row r="8" spans="1:43" ht="25.5">
      <c r="A8"/>
      <c r="B8" s="132" t="s">
        <v>7</v>
      </c>
      <c r="C8" s="31" t="s">
        <v>81</v>
      </c>
      <c r="D8" s="31" t="s">
        <v>34</v>
      </c>
      <c r="E8" s="89">
        <v>44562</v>
      </c>
      <c r="F8" s="89">
        <v>44593</v>
      </c>
      <c r="G8" s="89">
        <v>44621</v>
      </c>
      <c r="H8" s="89">
        <v>44652</v>
      </c>
      <c r="I8" s="89">
        <v>44682</v>
      </c>
      <c r="J8" s="89">
        <v>44713</v>
      </c>
      <c r="K8" s="89">
        <v>44743</v>
      </c>
      <c r="L8" s="89">
        <v>44774</v>
      </c>
      <c r="M8" s="89">
        <v>44805</v>
      </c>
      <c r="N8" s="89">
        <v>44835</v>
      </c>
      <c r="O8" s="89">
        <v>44866</v>
      </c>
      <c r="P8" s="89">
        <v>44896</v>
      </c>
      <c r="Q8" s="91">
        <v>2022</v>
      </c>
      <c r="R8" s="89">
        <v>44927</v>
      </c>
      <c r="S8" s="89">
        <v>44958</v>
      </c>
      <c r="T8" s="89">
        <v>44986</v>
      </c>
      <c r="U8" s="89">
        <v>45017</v>
      </c>
      <c r="V8" s="89">
        <v>45047</v>
      </c>
      <c r="W8" s="89">
        <v>45078</v>
      </c>
      <c r="X8" s="89">
        <v>45108</v>
      </c>
      <c r="Y8" s="89">
        <v>45139</v>
      </c>
      <c r="Z8" s="89">
        <v>45170</v>
      </c>
      <c r="AA8" s="89">
        <v>45200</v>
      </c>
      <c r="AB8" s="89">
        <v>45231</v>
      </c>
      <c r="AC8" s="89">
        <v>45261</v>
      </c>
      <c r="AD8" s="91">
        <v>2023</v>
      </c>
      <c r="AE8" s="89">
        <v>45292</v>
      </c>
      <c r="AF8" s="89">
        <v>45323</v>
      </c>
      <c r="AG8" s="89">
        <v>45352</v>
      </c>
      <c r="AH8" s="89">
        <v>45383</v>
      </c>
      <c r="AI8" s="89">
        <v>45413</v>
      </c>
      <c r="AJ8" s="89" t="s">
        <v>246</v>
      </c>
      <c r="AK8" s="89">
        <v>45474</v>
      </c>
      <c r="AL8" s="89">
        <v>45505</v>
      </c>
      <c r="AM8" s="89">
        <v>45536</v>
      </c>
      <c r="AN8" s="89">
        <v>45566</v>
      </c>
      <c r="AO8" s="89">
        <v>45597</v>
      </c>
      <c r="AP8" s="89">
        <v>45627</v>
      </c>
      <c r="AQ8" s="91">
        <v>2024</v>
      </c>
    </row>
    <row r="9" spans="1:43">
      <c r="A9" s="35"/>
      <c r="B9" s="67" t="s">
        <v>38</v>
      </c>
      <c r="C9" s="65" t="s">
        <v>108</v>
      </c>
      <c r="D9" s="86" t="s">
        <v>39</v>
      </c>
      <c r="E9" s="87"/>
      <c r="F9" s="87">
        <f>' Übersicht Umsätze '!E8</f>
        <v>25773.626029185572</v>
      </c>
      <c r="G9" s="87">
        <f>' Übersicht Umsätze '!F8</f>
        <v>25597.970583213402</v>
      </c>
      <c r="H9" s="87">
        <f>' Übersicht Umsätze '!G8</f>
        <v>25211.447785359269</v>
      </c>
      <c r="I9" s="87">
        <f>' Übersicht Umsätze '!H8</f>
        <v>28708.111195734957</v>
      </c>
      <c r="J9" s="87">
        <f>' Übersicht Umsätze '!I8</f>
        <v>27820.679413402639</v>
      </c>
      <c r="K9" s="87">
        <f>' Übersicht Umsätze '!J8</f>
        <v>13678.084152275545</v>
      </c>
      <c r="L9" s="87">
        <f>' Übersicht Umsätze '!K8</f>
        <v>14632.28083938027</v>
      </c>
      <c r="M9" s="87">
        <f>' Übersicht Umsätze '!L8</f>
        <v>14333.890547263683</v>
      </c>
      <c r="N9" s="87">
        <f>' Übersicht Umsätze '!M8</f>
        <v>16217.010204081633</v>
      </c>
      <c r="O9" s="87">
        <f>' Übersicht Umsätze '!N8</f>
        <v>14904.554655870446</v>
      </c>
      <c r="P9" s="87">
        <f>' Übersicht Umsätze '!O8</f>
        <v>13874.265129682999</v>
      </c>
      <c r="Q9" s="98">
        <f>SUM(E9:P9)</f>
        <v>220751.92053545036</v>
      </c>
      <c r="R9" s="87">
        <f>' Übersicht Umsätze '!P8</f>
        <v>14427.192164179105</v>
      </c>
      <c r="S9" s="87">
        <f>' Übersicht Umsätze '!R8</f>
        <v>13642.695895522387</v>
      </c>
      <c r="T9" s="87">
        <f>' Übersicht Umsätze '!S8</f>
        <v>13305.401119402984</v>
      </c>
      <c r="U9" s="87">
        <f>' Übersicht Umsätze '!T8</f>
        <v>13001.296641791043</v>
      </c>
      <c r="V9" s="87">
        <f>' Übersicht Umsätze '!U8</f>
        <v>12992.84514925373</v>
      </c>
      <c r="W9" s="87">
        <f>' Übersicht Umsätze '!V8</f>
        <v>13449.309701492537</v>
      </c>
      <c r="X9" s="87">
        <f>' Übersicht Umsätze '!W8</f>
        <v>13037.798507462687</v>
      </c>
      <c r="Y9" s="87">
        <f>' Übersicht Umsätze '!X8</f>
        <v>12437.5</v>
      </c>
      <c r="Z9" s="87">
        <f>' Übersicht Umsätze '!Y8</f>
        <v>12437.5</v>
      </c>
      <c r="AA9" s="87">
        <f>' Übersicht Umsätze '!Z8</f>
        <v>13285.298507462687</v>
      </c>
      <c r="AB9" s="87">
        <f>' Übersicht Umsätze '!AA8</f>
        <v>12824.62686567164</v>
      </c>
      <c r="AC9" s="87">
        <f>' Übersicht Umsätze '!AB8</f>
        <v>13281.716417910447</v>
      </c>
      <c r="AD9" s="98">
        <f>SUM(R9:AC9)</f>
        <v>158123.18097014926</v>
      </c>
      <c r="AE9" s="87">
        <f>' Übersicht Umsätze '!AC8</f>
        <v>13556.902985074626</v>
      </c>
      <c r="AF9" s="87">
        <f>' Übersicht Umsätze '!AE8</f>
        <v>12605.083955223879</v>
      </c>
      <c r="AG9" s="87">
        <f>' Übersicht Umsätze '!AF8</f>
        <v>12729.62686567164</v>
      </c>
      <c r="AH9" s="87">
        <f>' Übersicht Umsätze '!AG8</f>
        <v>12564.197761194029</v>
      </c>
      <c r="AI9" s="87">
        <f>' Übersicht Umsätze '!AH8</f>
        <v>12617.378731343282</v>
      </c>
      <c r="AJ9" s="87">
        <f>' Übersicht Umsätze '!AI8</f>
        <v>12600.746268656716</v>
      </c>
      <c r="AK9" s="87">
        <f>' Übersicht Umsätze '!AJ8</f>
        <v>83.815298507462671</v>
      </c>
      <c r="AL9" s="87">
        <f>' Übersicht Umsätze '!AK8</f>
        <v>0.5503731343283581</v>
      </c>
      <c r="AM9" s="87">
        <f>' Übersicht Umsätze '!AL8</f>
        <v>1.4832089552238805</v>
      </c>
      <c r="AN9" s="87">
        <f>' Übersicht Umsätze '!AM8</f>
        <v>0</v>
      </c>
      <c r="AO9" s="87">
        <f>' Übersicht Umsätze '!AN8</f>
        <v>0</v>
      </c>
      <c r="AP9" s="87">
        <f>' Übersicht Umsätze '!AO8</f>
        <v>0</v>
      </c>
      <c r="AQ9" s="98">
        <f>SUM(AE9:AP9)</f>
        <v>76759.785447761184</v>
      </c>
    </row>
    <row r="10" spans="1:43">
      <c r="A10" s="35"/>
      <c r="B10" s="67" t="s">
        <v>38</v>
      </c>
      <c r="C10" s="85" t="s">
        <v>15</v>
      </c>
      <c r="D10" s="86" t="s">
        <v>39</v>
      </c>
      <c r="E10" s="87"/>
      <c r="F10" s="87">
        <f>' Übersicht Umsätze '!E9</f>
        <v>180.95570462858842</v>
      </c>
      <c r="G10" s="87">
        <f>' Übersicht Umsätze '!F9</f>
        <v>145.5391044873202</v>
      </c>
      <c r="H10" s="87">
        <f>' Übersicht Umsätze '!G9</f>
        <v>84.746993903059106</v>
      </c>
      <c r="I10" s="87">
        <f>' Übersicht Umsätze '!H9</f>
        <v>61.881188118811885</v>
      </c>
      <c r="J10" s="87">
        <f>' Übersicht Umsätze '!I9</f>
        <v>123.44533135325786</v>
      </c>
      <c r="K10" s="87">
        <f>' Übersicht Umsätze '!J9</f>
        <v>1497.9486690201315</v>
      </c>
      <c r="L10" s="87">
        <f>' Übersicht Umsätze '!K9</f>
        <v>1273.7791723867424</v>
      </c>
      <c r="M10" s="87">
        <f>' Übersicht Umsätze '!L9</f>
        <v>1007.313432835821</v>
      </c>
      <c r="N10" s="87">
        <f>' Übersicht Umsätze '!M9</f>
        <v>2170.0510204081634</v>
      </c>
      <c r="O10" s="87">
        <f>' Übersicht Umsätze '!N9</f>
        <v>616.80161943319843</v>
      </c>
      <c r="P10" s="87">
        <f>' Übersicht Umsätze '!O9</f>
        <v>436.09029779058602</v>
      </c>
      <c r="Q10" s="98">
        <f t="shared" ref="Q10:Q40" si="6">SUM(E10:P10)</f>
        <v>7598.55253436568</v>
      </c>
      <c r="R10" s="87">
        <f>' Übersicht Umsätze '!P9</f>
        <v>400.69029850746267</v>
      </c>
      <c r="S10" s="87">
        <f>' Übersicht Umsätze '!R9</f>
        <v>303.46082089552237</v>
      </c>
      <c r="T10" s="87">
        <f>' Übersicht Umsätze '!S9</f>
        <v>160.44776119402985</v>
      </c>
      <c r="U10" s="87">
        <f>' Übersicht Umsätze '!T9</f>
        <v>106.26865671641791</v>
      </c>
      <c r="V10" s="87">
        <f>' Übersicht Umsätze '!U9</f>
        <v>20.326492537313431</v>
      </c>
      <c r="W10" s="87">
        <f>' Übersicht Umsätze '!V9</f>
        <v>41.725746268656714</v>
      </c>
      <c r="X10" s="87">
        <f>' Übersicht Umsätze '!W9</f>
        <v>55.587686567164177</v>
      </c>
      <c r="Y10" s="87">
        <f>' Übersicht Umsätze '!X9</f>
        <v>0</v>
      </c>
      <c r="Z10" s="87">
        <f>' Übersicht Umsätze '!Y9</f>
        <v>0</v>
      </c>
      <c r="AA10" s="87">
        <f>' Übersicht Umsätze '!Z9</f>
        <v>29.720149253731343</v>
      </c>
      <c r="AB10" s="87">
        <f>' Übersicht Umsätze '!AA9</f>
        <v>22.388059701492537</v>
      </c>
      <c r="AC10" s="87">
        <f>' Übersicht Umsätze '!AB9</f>
        <v>30.783582089552237</v>
      </c>
      <c r="AD10" s="98">
        <f t="shared" ref="AD10:AD40" si="7">SUM(R10:AC10)</f>
        <v>1171.3992537313432</v>
      </c>
      <c r="AE10" s="87">
        <f>' Übersicht Umsätze '!AC9</f>
        <v>46.64179104477612</v>
      </c>
      <c r="AF10" s="87">
        <f>' Übersicht Umsätze '!AE9</f>
        <v>14.486940298507461</v>
      </c>
      <c r="AG10" s="87">
        <f>' Übersicht Umsätze '!AF9</f>
        <v>8.9832089552238816</v>
      </c>
      <c r="AH10" s="87">
        <f>' Übersicht Umsätze '!AG9</f>
        <v>5.9235074626865662</v>
      </c>
      <c r="AI10" s="87">
        <f>' Übersicht Umsätze '!AH9</f>
        <v>2.7891791044776122</v>
      </c>
      <c r="AJ10" s="87">
        <f>' Übersicht Umsätze '!AI9</f>
        <v>1.6511194029850746</v>
      </c>
      <c r="AK10" s="87">
        <f>' Übersicht Umsätze '!AJ9</f>
        <v>0</v>
      </c>
      <c r="AL10" s="87">
        <f>' Übersicht Umsätze '!AK9</f>
        <v>0</v>
      </c>
      <c r="AM10" s="87">
        <f>' Übersicht Umsätze '!AL9</f>
        <v>0</v>
      </c>
      <c r="AN10" s="87">
        <f>' Übersicht Umsätze '!AM9</f>
        <v>0</v>
      </c>
      <c r="AO10" s="87">
        <f>' Übersicht Umsätze '!AN9</f>
        <v>0</v>
      </c>
      <c r="AP10" s="87">
        <f>' Übersicht Umsätze '!AO9</f>
        <v>0</v>
      </c>
      <c r="AQ10" s="98">
        <f t="shared" ref="AQ10:AQ40" si="8">SUM(AE10:AP10)</f>
        <v>80.475746268656721</v>
      </c>
    </row>
    <row r="11" spans="1:43">
      <c r="A11" s="35"/>
      <c r="B11" s="67" t="s">
        <v>38</v>
      </c>
      <c r="C11" s="85" t="s">
        <v>109</v>
      </c>
      <c r="D11" s="86" t="s">
        <v>39</v>
      </c>
      <c r="E11" s="87"/>
      <c r="F11" s="87">
        <f>' Übersicht Umsätze '!E10</f>
        <v>62.203523466077264</v>
      </c>
      <c r="G11" s="87">
        <f>' Übersicht Umsätze '!F10</f>
        <v>28.457366799196684</v>
      </c>
      <c r="H11" s="87">
        <f>' Übersicht Umsätze '!G10</f>
        <v>23.406312601797278</v>
      </c>
      <c r="I11" s="87">
        <f>' Übersicht Umsätze '!H10</f>
        <v>76.161462300076167</v>
      </c>
      <c r="J11" s="87">
        <f>' Übersicht Umsätze '!I10</f>
        <v>64.971227028030455</v>
      </c>
      <c r="K11" s="87">
        <f>' Übersicht Umsätze '!J10</f>
        <v>44.843049327354258</v>
      </c>
      <c r="L11" s="87">
        <f>' Übersicht Umsätze '!K10</f>
        <v>6.8640909982349481</v>
      </c>
      <c r="M11" s="87">
        <f>' Übersicht Umsätze '!L10</f>
        <v>4.4577114427860707</v>
      </c>
      <c r="N11" s="87">
        <f>' Übersicht Umsätze '!M10</f>
        <v>19.77551020408163</v>
      </c>
      <c r="O11" s="87">
        <f>' Übersicht Umsätze '!N10</f>
        <v>8.097165991902834</v>
      </c>
      <c r="P11" s="87">
        <f>' Übersicht Umsätze '!O10</f>
        <v>8.1940441882804986</v>
      </c>
      <c r="Q11" s="98">
        <f t="shared" si="6"/>
        <v>347.43146434781806</v>
      </c>
      <c r="R11" s="87">
        <f>' Übersicht Umsätze '!P10</f>
        <v>2.7332089552238807</v>
      </c>
      <c r="S11" s="87">
        <f>' Übersicht Umsätze '!R10</f>
        <v>13.861940298507461</v>
      </c>
      <c r="T11" s="87">
        <f>' Übersicht Umsätze '!S10</f>
        <v>11.529850746268655</v>
      </c>
      <c r="U11" s="87">
        <f>' Übersicht Umsätze '!T10</f>
        <v>4.580223880597015</v>
      </c>
      <c r="V11" s="87">
        <f>' Übersicht Umsätze '!U10</f>
        <v>6.567164179104477</v>
      </c>
      <c r="W11" s="87">
        <f>' Übersicht Umsätze '!V10</f>
        <v>2.6305970149253728</v>
      </c>
      <c r="X11" s="87">
        <f>' Übersicht Umsätze '!W10</f>
        <v>1.7444029850746268</v>
      </c>
      <c r="Y11" s="87">
        <f>' Übersicht Umsätze '!X10</f>
        <v>0</v>
      </c>
      <c r="Z11" s="87">
        <f>' Übersicht Umsätze '!Y10</f>
        <v>0</v>
      </c>
      <c r="AA11" s="87">
        <f>' Übersicht Umsätze '!Z10</f>
        <v>2.0429104477611939</v>
      </c>
      <c r="AB11" s="87">
        <f>' Übersicht Umsätze '!AA10</f>
        <v>2.7985074626865671</v>
      </c>
      <c r="AC11" s="87">
        <f>' Übersicht Umsätze '!AB10</f>
        <v>1.8656716417910446</v>
      </c>
      <c r="AD11" s="98">
        <f t="shared" si="7"/>
        <v>50.354477611940304</v>
      </c>
      <c r="AE11" s="87">
        <f>' Übersicht Umsätze '!AC10</f>
        <v>4.6641791044776113</v>
      </c>
      <c r="AF11" s="87">
        <f>' Übersicht Umsätze '!AE10</f>
        <v>1.1287313432835819</v>
      </c>
      <c r="AG11" s="87">
        <f>' Übersicht Umsätze '!AF10</f>
        <v>1.7817164179104477</v>
      </c>
      <c r="AH11" s="87">
        <f>' Übersicht Umsätze '!AG10</f>
        <v>1.1007462686567162</v>
      </c>
      <c r="AI11" s="87">
        <f>' Übersicht Umsätze '!AH10</f>
        <v>0.57835820895522383</v>
      </c>
      <c r="AJ11" s="87">
        <f>' Übersicht Umsätze '!AI10</f>
        <v>1.8656716417910446E-2</v>
      </c>
      <c r="AK11" s="87">
        <f>' Übersicht Umsätze '!AJ10</f>
        <v>0</v>
      </c>
      <c r="AL11" s="87">
        <f>' Übersicht Umsätze '!AK10</f>
        <v>0</v>
      </c>
      <c r="AM11" s="87">
        <f>' Übersicht Umsätze '!AL10</f>
        <v>0</v>
      </c>
      <c r="AN11" s="87">
        <f>' Übersicht Umsätze '!AM10</f>
        <v>0</v>
      </c>
      <c r="AO11" s="87">
        <f>' Übersicht Umsätze '!AN10</f>
        <v>0</v>
      </c>
      <c r="AP11" s="87">
        <f>' Übersicht Umsätze '!AO10</f>
        <v>0</v>
      </c>
      <c r="AQ11" s="98">
        <f t="shared" si="8"/>
        <v>9.2723880597014912</v>
      </c>
    </row>
    <row r="12" spans="1:43">
      <c r="A12" s="35"/>
      <c r="B12" s="39" t="s">
        <v>35</v>
      </c>
      <c r="C12" s="59" t="s">
        <v>108</v>
      </c>
      <c r="D12" s="63" t="s">
        <v>40</v>
      </c>
      <c r="E12" s="34"/>
      <c r="F12" s="34"/>
      <c r="G12" s="34">
        <f>' Übersicht Umsätze '!E11</f>
        <v>10885.82</v>
      </c>
      <c r="H12" s="34">
        <f>' Übersicht Umsätze '!F11</f>
        <v>16352.77</v>
      </c>
      <c r="I12" s="34">
        <f>' Übersicht Umsätze '!G11</f>
        <v>17502.91</v>
      </c>
      <c r="J12" s="34">
        <f>' Übersicht Umsätze '!H11</f>
        <v>11473</v>
      </c>
      <c r="K12" s="34">
        <f>' Übersicht Umsätze '!I11</f>
        <v>11524</v>
      </c>
      <c r="L12" s="34">
        <f>' Übersicht Umsätze '!J11</f>
        <v>13147</v>
      </c>
      <c r="M12" s="34">
        <f>' Übersicht Umsätze '!K11</f>
        <v>15356.92</v>
      </c>
      <c r="N12" s="34">
        <f>' Übersicht Umsätze '!L11</f>
        <v>12314.45</v>
      </c>
      <c r="O12" s="34">
        <f>' Übersicht Umsätze '!M11</f>
        <v>18827.18</v>
      </c>
      <c r="P12" s="34">
        <f>' Übersicht Umsätze '!N11</f>
        <v>19947.37</v>
      </c>
      <c r="Q12" s="99">
        <f t="shared" si="6"/>
        <v>147331.41999999998</v>
      </c>
      <c r="R12" s="34">
        <f>' Übersicht Umsätze '!O11</f>
        <v>20004.72</v>
      </c>
      <c r="S12" s="34">
        <f>' Übersicht Umsätze '!P11</f>
        <v>17849.830000000002</v>
      </c>
      <c r="T12" s="34">
        <f>' Übersicht Umsätze '!R11</f>
        <v>12115.19</v>
      </c>
      <c r="U12" s="34">
        <f>' Übersicht Umsätze '!S11</f>
        <v>16838.419999999998</v>
      </c>
      <c r="V12" s="34">
        <f>' Übersicht Umsätze '!T11</f>
        <v>19526.7</v>
      </c>
      <c r="W12" s="34">
        <f>' Übersicht Umsätze '!U11</f>
        <v>17460.259999999998</v>
      </c>
      <c r="X12" s="34">
        <f>' Übersicht Umsätze '!V11</f>
        <v>16074.71</v>
      </c>
      <c r="Y12" s="34">
        <f>' Übersicht Umsätze '!W11</f>
        <v>12064.07</v>
      </c>
      <c r="Z12" s="34">
        <f>' Übersicht Umsätze '!X11</f>
        <v>10524.85</v>
      </c>
      <c r="AA12" s="34">
        <f>' Übersicht Umsätze '!Y11</f>
        <v>8866.76</v>
      </c>
      <c r="AB12" s="34">
        <f>' Übersicht Umsätze '!Z11</f>
        <v>8899.7799999999988</v>
      </c>
      <c r="AC12" s="34">
        <f>' Übersicht Umsätze '!AA11</f>
        <v>8182.09</v>
      </c>
      <c r="AD12" s="99">
        <f t="shared" si="7"/>
        <v>168407.38</v>
      </c>
      <c r="AE12" s="34">
        <f>' Übersicht Umsätze '!AB11</f>
        <v>6416</v>
      </c>
      <c r="AF12" s="34">
        <f>' Übersicht Umsätze '!AC11</f>
        <v>5739.94</v>
      </c>
      <c r="AG12" s="34">
        <f>' Übersicht Umsätze '!AE11</f>
        <v>3964</v>
      </c>
      <c r="AH12" s="34">
        <f>' Übersicht Umsätze '!AF11</f>
        <v>5547</v>
      </c>
      <c r="AI12" s="34">
        <f>' Übersicht Umsätze '!AG11</f>
        <v>4058</v>
      </c>
      <c r="AJ12" s="34">
        <f>' Übersicht Umsätze '!AH11</f>
        <v>4111.53</v>
      </c>
      <c r="AK12" s="34">
        <f>' Übersicht Umsätze '!AI11</f>
        <v>3733.44</v>
      </c>
      <c r="AL12" s="34">
        <f>' Übersicht Umsätze '!AJ11</f>
        <v>8225.74</v>
      </c>
      <c r="AM12" s="34">
        <f>' Übersicht Umsätze '!AK11</f>
        <v>6275.28</v>
      </c>
      <c r="AN12" s="34">
        <f>' Übersicht Umsätze '!AL11</f>
        <v>2904.67</v>
      </c>
      <c r="AO12" s="34">
        <f>' Übersicht Umsätze '!AM11</f>
        <v>0</v>
      </c>
      <c r="AP12" s="34">
        <f>' Übersicht Umsätze '!AN11</f>
        <v>0</v>
      </c>
      <c r="AQ12" s="99">
        <f t="shared" si="8"/>
        <v>50975.599999999991</v>
      </c>
    </row>
    <row r="13" spans="1:43">
      <c r="A13" s="35"/>
      <c r="B13" s="67" t="s">
        <v>36</v>
      </c>
      <c r="C13" s="85" t="s">
        <v>108</v>
      </c>
      <c r="D13" s="86" t="s">
        <v>40</v>
      </c>
      <c r="E13" s="87"/>
      <c r="F13" s="87"/>
      <c r="G13" s="87"/>
      <c r="H13" s="87">
        <f>' Übersicht Umsätze '!E12</f>
        <v>29537.17</v>
      </c>
      <c r="I13" s="87">
        <f>' Übersicht Umsätze '!F12+' Übersicht Umsätze '!G12</f>
        <v>49692.75</v>
      </c>
      <c r="J13" s="87">
        <f>' Übersicht Umsätze '!H12</f>
        <v>16723.400000000001</v>
      </c>
      <c r="K13" s="87">
        <f>' Übersicht Umsätze '!I12</f>
        <v>14832.33</v>
      </c>
      <c r="L13" s="87">
        <f>' Übersicht Umsätze '!J12</f>
        <v>15324.78</v>
      </c>
      <c r="M13" s="87">
        <f>' Übersicht Umsätze '!K12</f>
        <v>16857.857142857145</v>
      </c>
      <c r="N13" s="87">
        <f>' Übersicht Umsätze '!L12</f>
        <v>10526.029702970296</v>
      </c>
      <c r="O13" s="87">
        <f>' Übersicht Umsätze '!M12</f>
        <v>15791.307171717172</v>
      </c>
      <c r="P13" s="87">
        <f>' Übersicht Umsätze '!N12</f>
        <v>15767.45</v>
      </c>
      <c r="Q13" s="98">
        <f t="shared" si="6"/>
        <v>185053.07401754463</v>
      </c>
      <c r="R13" s="87">
        <f>' Übersicht Umsätze '!O12</f>
        <v>17918.38</v>
      </c>
      <c r="S13" s="87">
        <f>' Übersicht Umsätze '!P12</f>
        <v>19401.689999999999</v>
      </c>
      <c r="T13" s="87">
        <f>' Übersicht Umsätze '!R12</f>
        <v>14766.85</v>
      </c>
      <c r="U13" s="87">
        <f>' Übersicht Umsätze '!S12</f>
        <v>9600.7099999999991</v>
      </c>
      <c r="V13" s="87">
        <f>' Übersicht Umsätze '!T12</f>
        <v>16667.8</v>
      </c>
      <c r="W13" s="87">
        <f>' Übersicht Umsätze '!U12</f>
        <v>12896.85</v>
      </c>
      <c r="X13" s="87">
        <f>' Übersicht Umsätze '!V12</f>
        <v>12624.44</v>
      </c>
      <c r="Y13" s="87">
        <f>' Übersicht Umsätze '!W12</f>
        <v>15598.35</v>
      </c>
      <c r="Z13" s="87">
        <f>' Übersicht Umsätze '!X12</f>
        <v>21069</v>
      </c>
      <c r="AA13" s="87">
        <f>' Übersicht Umsätze '!Y12</f>
        <v>17973.599999999999</v>
      </c>
      <c r="AB13" s="87">
        <f>' Übersicht Umsätze '!Z12</f>
        <v>20300</v>
      </c>
      <c r="AC13" s="87">
        <f>' Übersicht Umsätze '!AA12</f>
        <v>30732.639999999999</v>
      </c>
      <c r="AD13" s="98">
        <f t="shared" si="7"/>
        <v>209550.31</v>
      </c>
      <c r="AE13" s="87">
        <f>' Übersicht Umsätze '!AB12</f>
        <v>37390</v>
      </c>
      <c r="AF13" s="87">
        <f>' Übersicht Umsätze '!AC12</f>
        <v>39203</v>
      </c>
      <c r="AG13" s="87">
        <f>' Übersicht Umsätze '!AE12</f>
        <v>32235.23</v>
      </c>
      <c r="AH13" s="87">
        <f>' Übersicht Umsätze '!AF12</f>
        <v>37650</v>
      </c>
      <c r="AI13" s="87">
        <f>' Übersicht Umsätze '!AG12</f>
        <v>57422</v>
      </c>
      <c r="AJ13" s="87">
        <f>' Übersicht Umsätze '!AH12</f>
        <v>49310.73</v>
      </c>
      <c r="AK13" s="87">
        <f>' Übersicht Umsätze '!AI12</f>
        <v>33841.47</v>
      </c>
      <c r="AL13" s="87">
        <f>' Übersicht Umsätze '!AJ12</f>
        <v>34140.9</v>
      </c>
      <c r="AM13" s="87">
        <f>' Übersicht Umsätze '!AK12</f>
        <v>34577.67</v>
      </c>
      <c r="AN13" s="87">
        <f>' Übersicht Umsätze '!AL12</f>
        <v>0</v>
      </c>
      <c r="AO13" s="87">
        <f>' Übersicht Umsätze '!AM12</f>
        <v>0</v>
      </c>
      <c r="AP13" s="87">
        <f>' Übersicht Umsätze '!AN12</f>
        <v>0</v>
      </c>
      <c r="AQ13" s="98">
        <f t="shared" si="8"/>
        <v>355771</v>
      </c>
    </row>
    <row r="14" spans="1:43">
      <c r="A14" s="35"/>
      <c r="B14" s="67" t="s">
        <v>36</v>
      </c>
      <c r="C14" s="85" t="s">
        <v>15</v>
      </c>
      <c r="D14" s="88" t="s">
        <v>40</v>
      </c>
      <c r="E14" s="87"/>
      <c r="F14" s="87"/>
      <c r="G14" s="87"/>
      <c r="H14" s="87">
        <f>' Übersicht Umsätze '!E13</f>
        <v>0</v>
      </c>
      <c r="I14" s="87">
        <f>' Übersicht Umsätze '!F13+' Übersicht Umsätze '!G13</f>
        <v>0</v>
      </c>
      <c r="J14" s="87">
        <f>' Übersicht Umsätze '!H13</f>
        <v>0</v>
      </c>
      <c r="K14" s="87">
        <f>' Übersicht Umsätze '!I13</f>
        <v>0</v>
      </c>
      <c r="L14" s="87">
        <f>' Übersicht Umsätze '!J13</f>
        <v>0</v>
      </c>
      <c r="M14" s="87">
        <f>' Übersicht Umsätze '!K13</f>
        <v>246.46</v>
      </c>
      <c r="N14" s="87">
        <f>' Übersicht Umsätze '!L13</f>
        <v>242.46534653465346</v>
      </c>
      <c r="O14" s="87">
        <f>' Übersicht Umsätze '!M13</f>
        <v>429.1</v>
      </c>
      <c r="P14" s="87">
        <f>' Übersicht Umsätze '!N13</f>
        <v>759.24</v>
      </c>
      <c r="Q14" s="98">
        <f t="shared" si="6"/>
        <v>1677.2653465346534</v>
      </c>
      <c r="R14" s="87">
        <f>' Übersicht Umsätze '!O13</f>
        <v>13465.52</v>
      </c>
      <c r="S14" s="87">
        <f>' Übersicht Umsätze '!P13</f>
        <v>16574.3</v>
      </c>
      <c r="T14" s="87">
        <f>' Übersicht Umsätze '!R13</f>
        <v>9672.65</v>
      </c>
      <c r="U14" s="87">
        <f>' Übersicht Umsätze '!S13</f>
        <v>5403.11</v>
      </c>
      <c r="V14" s="87">
        <f>' Übersicht Umsätze '!T13</f>
        <v>6114.99</v>
      </c>
      <c r="W14" s="87">
        <f>' Übersicht Umsätze '!U13</f>
        <v>4508.67</v>
      </c>
      <c r="X14" s="87">
        <f>' Übersicht Umsätze '!V13</f>
        <v>2097.69</v>
      </c>
      <c r="Y14" s="87">
        <f>' Übersicht Umsätze '!W13</f>
        <v>2943.18</v>
      </c>
      <c r="Z14" s="87">
        <f>' Übersicht Umsätze '!X13</f>
        <v>2802.51</v>
      </c>
      <c r="AA14" s="87">
        <f>' Übersicht Umsätze '!Y13</f>
        <v>996.78</v>
      </c>
      <c r="AB14" s="87">
        <f>' Übersicht Umsätze '!Z13</f>
        <v>1615</v>
      </c>
      <c r="AC14" s="87">
        <f>' Übersicht Umsätze '!AA13</f>
        <v>1365.43</v>
      </c>
      <c r="AD14" s="98">
        <f t="shared" si="7"/>
        <v>67559.829999999987</v>
      </c>
      <c r="AE14" s="87">
        <f>' Übersicht Umsätze '!AB13</f>
        <v>816.3</v>
      </c>
      <c r="AF14" s="87">
        <f>' Übersicht Umsätze '!AC13</f>
        <v>456</v>
      </c>
      <c r="AG14" s="87">
        <f>' Übersicht Umsätze '!AE13</f>
        <v>305.39999999999998</v>
      </c>
      <c r="AH14" s="87">
        <f>' Übersicht Umsätze '!AF13</f>
        <v>617</v>
      </c>
      <c r="AI14" s="87">
        <f>' Übersicht Umsätze '!AG13</f>
        <v>875</v>
      </c>
      <c r="AJ14" s="87">
        <f>' Übersicht Umsätze '!AH13</f>
        <v>1018.38</v>
      </c>
      <c r="AK14" s="87">
        <f>' Übersicht Umsätze '!AI13</f>
        <v>1905.16</v>
      </c>
      <c r="AL14" s="87">
        <f>' Übersicht Umsätze '!AJ13</f>
        <v>2693.33</v>
      </c>
      <c r="AM14" s="87">
        <f>' Übersicht Umsätze '!AK13</f>
        <v>1190.67</v>
      </c>
      <c r="AN14" s="87">
        <f>' Übersicht Umsätze '!AL13</f>
        <v>0</v>
      </c>
      <c r="AO14" s="87">
        <f>' Übersicht Umsätze '!AM13</f>
        <v>0</v>
      </c>
      <c r="AP14" s="87">
        <f>' Übersicht Umsätze '!AN13</f>
        <v>0</v>
      </c>
      <c r="AQ14" s="98">
        <f t="shared" si="8"/>
        <v>9877.24</v>
      </c>
    </row>
    <row r="15" spans="1:43">
      <c r="A15" s="35"/>
      <c r="B15" s="67" t="s">
        <v>36</v>
      </c>
      <c r="C15" s="85" t="s">
        <v>109</v>
      </c>
      <c r="D15" s="88" t="s">
        <v>40</v>
      </c>
      <c r="E15" s="87"/>
      <c r="F15" s="87"/>
      <c r="G15" s="87"/>
      <c r="H15" s="87">
        <f>' Übersicht Umsätze '!E15</f>
        <v>0</v>
      </c>
      <c r="I15" s="87">
        <f>' Übersicht Umsätze '!F15+' Übersicht Umsätze '!G15</f>
        <v>0</v>
      </c>
      <c r="J15" s="87">
        <f>' Übersicht Umsätze '!H15</f>
        <v>0</v>
      </c>
      <c r="K15" s="87">
        <f>' Übersicht Umsätze '!I15</f>
        <v>0</v>
      </c>
      <c r="L15" s="87">
        <f>' Übersicht Umsätze '!J15</f>
        <v>0</v>
      </c>
      <c r="M15" s="87">
        <f>' Übersicht Umsätze '!K15</f>
        <v>0</v>
      </c>
      <c r="N15" s="87">
        <f>' Übersicht Umsätze '!L15</f>
        <v>0</v>
      </c>
      <c r="O15" s="87">
        <f>' Übersicht Umsätze '!M15</f>
        <v>0</v>
      </c>
      <c r="P15" s="87">
        <f>' Übersicht Umsätze '!N15</f>
        <v>0</v>
      </c>
      <c r="Q15" s="98">
        <f t="shared" si="6"/>
        <v>0</v>
      </c>
      <c r="R15" s="87">
        <f>' Übersicht Umsätze '!O15</f>
        <v>0</v>
      </c>
      <c r="S15" s="87">
        <f>' Übersicht Umsätze '!P15</f>
        <v>0</v>
      </c>
      <c r="T15" s="87">
        <f>' Übersicht Umsätze '!R15</f>
        <v>821.7</v>
      </c>
      <c r="U15" s="87">
        <f>' Übersicht Umsätze '!S15</f>
        <v>843.35</v>
      </c>
      <c r="V15" s="87">
        <f>' Übersicht Umsätze '!T15</f>
        <v>760.42</v>
      </c>
      <c r="W15" s="87">
        <f>' Übersicht Umsätze '!U15</f>
        <v>386.74</v>
      </c>
      <c r="X15" s="87">
        <f>' Übersicht Umsätze '!V15</f>
        <v>557.61</v>
      </c>
      <c r="Y15" s="87">
        <f>' Übersicht Umsätze '!W15</f>
        <v>328.61</v>
      </c>
      <c r="Z15" s="87">
        <f>' Übersicht Umsätze '!X15</f>
        <v>700.62</v>
      </c>
      <c r="AA15" s="87">
        <f>' Übersicht Umsätze '!Y15</f>
        <v>476.17</v>
      </c>
      <c r="AB15" s="87">
        <f>' Übersicht Umsätze '!Z15</f>
        <v>429</v>
      </c>
      <c r="AC15" s="87">
        <f>' Übersicht Umsätze '!AA15</f>
        <v>279.66000000000003</v>
      </c>
      <c r="AD15" s="98">
        <f t="shared" si="7"/>
        <v>5583.88</v>
      </c>
      <c r="AE15" s="87">
        <f>' Übersicht Umsätze '!AB15</f>
        <v>99.24</v>
      </c>
      <c r="AF15" s="87">
        <f>' Übersicht Umsätze '!AC15</f>
        <v>86</v>
      </c>
      <c r="AG15" s="87">
        <f>' Übersicht Umsätze '!AE15</f>
        <v>16.07</v>
      </c>
      <c r="AH15" s="87">
        <f>' Übersicht Umsätze '!AF15</f>
        <v>35</v>
      </c>
      <c r="AI15" s="87">
        <f>' Übersicht Umsätze '!AG15</f>
        <v>0</v>
      </c>
      <c r="AJ15" s="87">
        <f>' Übersicht Umsätze '!AH15</f>
        <v>0</v>
      </c>
      <c r="AK15" s="87">
        <f>' Übersicht Umsätze '!AI15</f>
        <v>0</v>
      </c>
      <c r="AL15" s="87">
        <f>' Übersicht Umsätze '!AJ15</f>
        <v>0</v>
      </c>
      <c r="AM15" s="87">
        <f>' Übersicht Umsätze '!AK15</f>
        <v>0</v>
      </c>
      <c r="AN15" s="87">
        <f>' Übersicht Umsätze '!AL15</f>
        <v>0</v>
      </c>
      <c r="AO15" s="87">
        <f>' Übersicht Umsätze '!AM15</f>
        <v>0</v>
      </c>
      <c r="AP15" s="87">
        <f>' Übersicht Umsätze '!AN15</f>
        <v>0</v>
      </c>
      <c r="AQ15" s="98">
        <f t="shared" si="8"/>
        <v>236.31</v>
      </c>
    </row>
    <row r="16" spans="1:43">
      <c r="A16" s="35"/>
      <c r="B16" s="33" t="s">
        <v>43</v>
      </c>
      <c r="C16" s="59" t="s">
        <v>108</v>
      </c>
      <c r="D16" s="33" t="s">
        <v>40</v>
      </c>
      <c r="E16" s="34"/>
      <c r="F16" s="34"/>
      <c r="G16" s="34">
        <f>' Übersicht Umsätze '!E16</f>
        <v>3030</v>
      </c>
      <c r="H16" s="34">
        <f>' Übersicht Umsätze '!F16</f>
        <v>2560</v>
      </c>
      <c r="I16" s="34">
        <f>' Übersicht Umsätze '!G16</f>
        <v>1442</v>
      </c>
      <c r="J16" s="34">
        <f>' Übersicht Umsätze '!H16</f>
        <v>2667</v>
      </c>
      <c r="K16" s="34">
        <f>' Übersicht Umsätze '!I16</f>
        <v>3343</v>
      </c>
      <c r="L16" s="34">
        <f>' Übersicht Umsätze '!J16</f>
        <v>4100</v>
      </c>
      <c r="M16" s="34">
        <f>' Übersicht Umsätze '!K16</f>
        <v>3559</v>
      </c>
      <c r="N16" s="34">
        <f>' Übersicht Umsätze '!L16</f>
        <v>3906</v>
      </c>
      <c r="O16" s="34">
        <f>' Übersicht Umsätze '!M16</f>
        <v>4606</v>
      </c>
      <c r="P16" s="34">
        <f>' Übersicht Umsätze '!N16</f>
        <v>5898.86</v>
      </c>
      <c r="Q16" s="99">
        <f t="shared" si="6"/>
        <v>35111.86</v>
      </c>
      <c r="R16" s="34">
        <f>' Übersicht Umsätze '!O16</f>
        <v>9662.5400000000009</v>
      </c>
      <c r="S16" s="34">
        <f>' Übersicht Umsätze '!P16</f>
        <v>10887.6</v>
      </c>
      <c r="T16" s="34">
        <f>' Übersicht Umsätze '!R16</f>
        <v>1215.81</v>
      </c>
      <c r="U16" s="34">
        <f>' Übersicht Umsätze '!S16</f>
        <v>15</v>
      </c>
      <c r="V16" s="34">
        <f>' Übersicht Umsätze '!T16</f>
        <v>39.43</v>
      </c>
      <c r="W16" s="34">
        <f>' Übersicht Umsätze '!U16</f>
        <v>17.52</v>
      </c>
      <c r="X16" s="34">
        <f>' Übersicht Umsätze '!V16</f>
        <v>20</v>
      </c>
      <c r="Y16" s="34">
        <f>' Übersicht Umsätze '!W16</f>
        <v>20</v>
      </c>
      <c r="Z16" s="34">
        <f>' Übersicht Umsätze '!X16</f>
        <v>30</v>
      </c>
      <c r="AA16" s="34">
        <f>' Übersicht Umsätze '!Y16</f>
        <v>18</v>
      </c>
      <c r="AB16" s="34">
        <f>' Übersicht Umsätze '!Z16</f>
        <v>20</v>
      </c>
      <c r="AC16" s="34">
        <f>' Übersicht Umsätze '!AA16</f>
        <v>20</v>
      </c>
      <c r="AD16" s="99">
        <f t="shared" si="7"/>
        <v>21965.9</v>
      </c>
      <c r="AE16" s="34">
        <f>' Übersicht Umsätze '!AB16</f>
        <v>0</v>
      </c>
      <c r="AF16" s="34">
        <f>' Übersicht Umsätze '!AC16</f>
        <v>0</v>
      </c>
      <c r="AG16" s="34">
        <f>' Übersicht Umsätze '!AE16</f>
        <v>0</v>
      </c>
      <c r="AH16" s="34">
        <f>' Übersicht Umsätze '!AF16</f>
        <v>0</v>
      </c>
      <c r="AI16" s="34">
        <f>' Übersicht Umsätze '!AG16</f>
        <v>0</v>
      </c>
      <c r="AJ16" s="34">
        <f>' Übersicht Umsätze '!AH16</f>
        <v>0</v>
      </c>
      <c r="AK16" s="34">
        <f>' Übersicht Umsätze '!AI16</f>
        <v>0</v>
      </c>
      <c r="AL16" s="34">
        <f>' Übersicht Umsätze '!AJ16</f>
        <v>0</v>
      </c>
      <c r="AM16" s="34">
        <f>' Übersicht Umsätze '!AK16</f>
        <v>0</v>
      </c>
      <c r="AN16" s="34">
        <f>' Übersicht Umsätze '!AL16</f>
        <v>0</v>
      </c>
      <c r="AO16" s="34">
        <f>' Übersicht Umsätze '!AM16</f>
        <v>0</v>
      </c>
      <c r="AP16" s="34">
        <f>' Übersicht Umsätze '!AN16</f>
        <v>0</v>
      </c>
      <c r="AQ16" s="99">
        <f t="shared" si="8"/>
        <v>0</v>
      </c>
    </row>
    <row r="17" spans="1:43">
      <c r="A17" s="35"/>
      <c r="B17" s="33" t="s">
        <v>42</v>
      </c>
      <c r="C17" s="59" t="s">
        <v>108</v>
      </c>
      <c r="D17" s="33" t="s">
        <v>40</v>
      </c>
      <c r="E17" s="34"/>
      <c r="F17" s="34">
        <f>' Übersicht Umsätze '!E17</f>
        <v>3308</v>
      </c>
      <c r="G17" s="34">
        <f>' Übersicht Umsätze '!F17</f>
        <v>375</v>
      </c>
      <c r="H17" s="34">
        <f>' Übersicht Umsätze '!G17</f>
        <v>1530</v>
      </c>
      <c r="I17" s="34">
        <f>' Übersicht Umsätze '!H17</f>
        <v>3623</v>
      </c>
      <c r="J17" s="34">
        <f>' Übersicht Umsätze '!I17</f>
        <v>1713</v>
      </c>
      <c r="K17" s="34">
        <f>' Übersicht Umsätze '!J17</f>
        <v>0</v>
      </c>
      <c r="L17" s="34">
        <f>' Übersicht Umsätze '!K17</f>
        <v>900</v>
      </c>
      <c r="M17" s="34">
        <f>' Übersicht Umsätze '!L17</f>
        <v>2700</v>
      </c>
      <c r="N17" s="34">
        <f>' Übersicht Umsätze '!M17</f>
        <v>1600</v>
      </c>
      <c r="O17" s="34">
        <f>' Übersicht Umsätze '!N17</f>
        <v>1950</v>
      </c>
      <c r="P17" s="34">
        <f>' Übersicht Umsätze '!O17</f>
        <v>1150</v>
      </c>
      <c r="Q17" s="99">
        <f t="shared" si="6"/>
        <v>18849</v>
      </c>
      <c r="R17" s="34">
        <f>' Übersicht Umsätze '!P17</f>
        <v>2100</v>
      </c>
      <c r="S17" s="34">
        <f>' Übersicht Umsätze '!R17</f>
        <v>1750</v>
      </c>
      <c r="T17" s="34">
        <f>' Übersicht Umsätze '!S17</f>
        <v>1750</v>
      </c>
      <c r="U17" s="34">
        <f>' Übersicht Umsätze '!T17</f>
        <v>2400</v>
      </c>
      <c r="V17" s="34">
        <f>' Übersicht Umsätze '!U17</f>
        <v>2900</v>
      </c>
      <c r="W17" s="34">
        <f>' Übersicht Umsätze '!V17</f>
        <v>2250</v>
      </c>
      <c r="X17" s="34">
        <f>' Übersicht Umsätze '!W17</f>
        <v>1300</v>
      </c>
      <c r="Y17" s="34">
        <f>' Übersicht Umsätze '!X17</f>
        <v>1300</v>
      </c>
      <c r="Z17" s="34">
        <f>' Übersicht Umsätze '!Y17</f>
        <v>2700</v>
      </c>
      <c r="AA17" s="34">
        <f>' Übersicht Umsätze '!Z17</f>
        <v>4050</v>
      </c>
      <c r="AB17" s="34">
        <f>' Übersicht Umsätze '!AA17</f>
        <v>2900</v>
      </c>
      <c r="AC17" s="34">
        <f>' Übersicht Umsätze '!AB17</f>
        <v>1790</v>
      </c>
      <c r="AD17" s="99">
        <f t="shared" si="7"/>
        <v>27190</v>
      </c>
      <c r="AE17" s="34">
        <f>' Übersicht Umsätze '!AC17</f>
        <v>1769</v>
      </c>
      <c r="AF17" s="34">
        <f>' Übersicht Umsätze '!AE17</f>
        <v>4500</v>
      </c>
      <c r="AG17" s="34">
        <f>' Übersicht Umsätze '!AF17</f>
        <v>3150</v>
      </c>
      <c r="AH17" s="34">
        <f>' Übersicht Umsätze '!AG17</f>
        <v>1700</v>
      </c>
      <c r="AI17" s="34">
        <f>' Übersicht Umsätze '!AH17</f>
        <v>1277</v>
      </c>
      <c r="AJ17" s="34">
        <f>' Übersicht Umsätze '!AI17</f>
        <v>740.67</v>
      </c>
      <c r="AK17" s="34">
        <f>' Übersicht Umsätze '!AJ17</f>
        <v>817.5</v>
      </c>
      <c r="AL17" s="34">
        <f>' Übersicht Umsätze '!AK17</f>
        <v>6217.5</v>
      </c>
      <c r="AM17" s="34">
        <f>' Übersicht Umsätze '!AL17</f>
        <v>2577.5</v>
      </c>
      <c r="AN17" s="34">
        <f>' Übersicht Umsätze '!AM17</f>
        <v>0</v>
      </c>
      <c r="AO17" s="34">
        <f>' Übersicht Umsätze '!AN17</f>
        <v>0</v>
      </c>
      <c r="AP17" s="34">
        <f>' Übersicht Umsätze '!AO17</f>
        <v>0</v>
      </c>
      <c r="AQ17" s="99">
        <f t="shared" si="8"/>
        <v>22749.17</v>
      </c>
    </row>
    <row r="18" spans="1:43">
      <c r="A18" s="35"/>
      <c r="B18" s="67" t="s">
        <v>25</v>
      </c>
      <c r="C18" s="85" t="s">
        <v>108</v>
      </c>
      <c r="D18" s="86" t="s">
        <v>40</v>
      </c>
      <c r="E18" s="87"/>
      <c r="F18" s="87"/>
      <c r="G18" s="87">
        <f>' Übersicht Umsätze '!E18</f>
        <v>42.16</v>
      </c>
      <c r="H18" s="87">
        <f>' Übersicht Umsätze '!F18</f>
        <v>55.86</v>
      </c>
      <c r="I18" s="87">
        <f>' Übersicht Umsätze '!G18</f>
        <v>67.53</v>
      </c>
      <c r="J18" s="87">
        <f>' Übersicht Umsätze '!H18</f>
        <v>98.45</v>
      </c>
      <c r="K18" s="87">
        <f>' Übersicht Umsätze '!I18</f>
        <v>55.26</v>
      </c>
      <c r="L18" s="87">
        <f>' Übersicht Umsätze '!J18</f>
        <v>74.52</v>
      </c>
      <c r="M18" s="87">
        <f>' Übersicht Umsätze '!K18</f>
        <v>135</v>
      </c>
      <c r="N18" s="87">
        <f>' Übersicht Umsätze '!L18</f>
        <v>94.65</v>
      </c>
      <c r="O18" s="87">
        <f>' Übersicht Umsätze '!M18</f>
        <v>150.49</v>
      </c>
      <c r="P18" s="87">
        <f>' Übersicht Umsätze '!N18</f>
        <v>89.44</v>
      </c>
      <c r="Q18" s="98">
        <f t="shared" si="6"/>
        <v>863.3599999999999</v>
      </c>
      <c r="R18" s="87">
        <f>' Übersicht Umsätze '!O18</f>
        <v>127.66</v>
      </c>
      <c r="S18" s="87">
        <f>' Übersicht Umsätze '!P18</f>
        <v>118.93</v>
      </c>
      <c r="T18" s="87">
        <f>' Übersicht Umsätze '!R18</f>
        <v>55.739999999999995</v>
      </c>
      <c r="U18" s="87">
        <f>' Übersicht Umsätze '!S18</f>
        <v>54.99</v>
      </c>
      <c r="V18" s="87">
        <f>' Übersicht Umsätze '!T18</f>
        <v>57.72</v>
      </c>
      <c r="W18" s="87">
        <f>' Übersicht Umsätze '!U18</f>
        <v>80.69</v>
      </c>
      <c r="X18" s="87">
        <f>' Übersicht Umsätze '!V18</f>
        <v>87.06</v>
      </c>
      <c r="Y18" s="87">
        <f>' Übersicht Umsätze '!W18</f>
        <v>72.8</v>
      </c>
      <c r="Z18" s="87">
        <f>' Übersicht Umsätze '!X18</f>
        <v>59.68</v>
      </c>
      <c r="AA18" s="87">
        <f>' Übersicht Umsätze '!Y18</f>
        <v>47.73</v>
      </c>
      <c r="AB18" s="87">
        <f>' Übersicht Umsätze '!Z18</f>
        <v>63.47</v>
      </c>
      <c r="AC18" s="87">
        <f>' Übersicht Umsätze '!AA18</f>
        <v>65.490000000000009</v>
      </c>
      <c r="AD18" s="98">
        <f t="shared" si="7"/>
        <v>891.95999999999992</v>
      </c>
      <c r="AE18" s="87">
        <f>' Übersicht Umsätze '!AB18</f>
        <v>64.19</v>
      </c>
      <c r="AF18" s="87">
        <f>' Übersicht Umsätze '!AC18</f>
        <v>53.379999999999995</v>
      </c>
      <c r="AG18" s="87">
        <f>' Übersicht Umsätze '!AE18</f>
        <v>49.55</v>
      </c>
      <c r="AH18" s="87">
        <f>' Übersicht Umsätze '!AF18</f>
        <v>55.51</v>
      </c>
      <c r="AI18" s="87">
        <f>' Übersicht Umsätze '!AG18</f>
        <v>7.399</v>
      </c>
      <c r="AJ18" s="87">
        <f>' Übersicht Umsätze '!AH18</f>
        <v>17.68</v>
      </c>
      <c r="AK18" s="87">
        <f>' Übersicht Umsätze '!AI18</f>
        <v>15.309999999999999</v>
      </c>
      <c r="AL18" s="87">
        <f>' Übersicht Umsätze '!AJ18</f>
        <v>0</v>
      </c>
      <c r="AM18" s="87">
        <f>' Übersicht Umsätze '!AK18</f>
        <v>0</v>
      </c>
      <c r="AN18" s="87">
        <f>' Übersicht Umsätze '!AL18</f>
        <v>0</v>
      </c>
      <c r="AO18" s="87">
        <f>' Übersicht Umsätze '!AM18</f>
        <v>0</v>
      </c>
      <c r="AP18" s="87">
        <f>' Übersicht Umsätze '!AN18</f>
        <v>0</v>
      </c>
      <c r="AQ18" s="98">
        <f t="shared" si="8"/>
        <v>263.01900000000001</v>
      </c>
    </row>
    <row r="19" spans="1:43">
      <c r="A19" s="35"/>
      <c r="B19" s="67" t="s">
        <v>25</v>
      </c>
      <c r="C19" s="85" t="s">
        <v>15</v>
      </c>
      <c r="D19" s="86" t="s">
        <v>40</v>
      </c>
      <c r="E19" s="87"/>
      <c r="F19" s="87"/>
      <c r="G19" s="87">
        <f>' Übersicht Umsätze '!E19</f>
        <v>5</v>
      </c>
      <c r="H19" s="87">
        <f>' Übersicht Umsätze '!F19</f>
        <v>3</v>
      </c>
      <c r="I19" s="87">
        <f>' Übersicht Umsätze '!G19</f>
        <v>15</v>
      </c>
      <c r="J19" s="87">
        <f>' Übersicht Umsätze '!H19</f>
        <v>22</v>
      </c>
      <c r="K19" s="87">
        <f>' Übersicht Umsätze '!I19</f>
        <v>14</v>
      </c>
      <c r="L19" s="87">
        <f>' Übersicht Umsätze '!J19</f>
        <v>4</v>
      </c>
      <c r="M19" s="87">
        <f>' Übersicht Umsätze '!K19</f>
        <v>3</v>
      </c>
      <c r="N19" s="87">
        <f>' Übersicht Umsätze '!L19</f>
        <v>2</v>
      </c>
      <c r="O19" s="87">
        <f>' Übersicht Umsätze '!M19</f>
        <v>7</v>
      </c>
      <c r="P19" s="87">
        <f>' Übersicht Umsätze '!N19</f>
        <v>3</v>
      </c>
      <c r="Q19" s="98">
        <f t="shared" si="6"/>
        <v>78</v>
      </c>
      <c r="R19" s="87">
        <f>' Übersicht Umsätze '!O19</f>
        <v>3</v>
      </c>
      <c r="S19" s="87">
        <f>' Übersicht Umsätze '!P19</f>
        <v>7.66</v>
      </c>
      <c r="T19" s="87">
        <f>' Übersicht Umsätze '!R19</f>
        <v>2.99</v>
      </c>
      <c r="U19" s="87">
        <f>' Übersicht Umsätze '!S19</f>
        <v>2.38</v>
      </c>
      <c r="V19" s="87">
        <f>' Übersicht Umsätze '!T19</f>
        <v>3.38</v>
      </c>
      <c r="W19" s="87">
        <f>' Übersicht Umsätze '!U19</f>
        <v>3.66</v>
      </c>
      <c r="X19" s="87">
        <f>' Übersicht Umsätze '!V19</f>
        <v>2.25</v>
      </c>
      <c r="Y19" s="87">
        <f>' Übersicht Umsätze '!W19</f>
        <v>4.05</v>
      </c>
      <c r="Z19" s="87">
        <f>' Übersicht Umsätze '!X19</f>
        <v>3.93</v>
      </c>
      <c r="AA19" s="87">
        <f>' Übersicht Umsätze '!Y19</f>
        <v>1.64</v>
      </c>
      <c r="AB19" s="87">
        <f>' Übersicht Umsätze '!Z19</f>
        <v>1.37</v>
      </c>
      <c r="AC19" s="87">
        <f>' Übersicht Umsätze '!AA19</f>
        <v>1.93</v>
      </c>
      <c r="AD19" s="98">
        <f t="shared" si="7"/>
        <v>38.24</v>
      </c>
      <c r="AE19" s="87">
        <f>' Übersicht Umsätze '!AB19</f>
        <v>2.4500000000000002</v>
      </c>
      <c r="AF19" s="87">
        <f>' Übersicht Umsätze '!AC19</f>
        <v>1.2</v>
      </c>
      <c r="AG19" s="87">
        <f>' Übersicht Umsätze '!AE19</f>
        <v>1.1499999999999999</v>
      </c>
      <c r="AH19" s="87">
        <f>' Übersicht Umsätze '!AF19</f>
        <v>2.04</v>
      </c>
      <c r="AI19" s="87">
        <f>' Übersicht Umsätze '!AG19</f>
        <v>1.1100000000000001</v>
      </c>
      <c r="AJ19" s="87">
        <f>' Übersicht Umsätze '!AH19</f>
        <v>2.4500000000000002</v>
      </c>
      <c r="AK19" s="87">
        <f>' Übersicht Umsätze '!AI19</f>
        <v>2.6</v>
      </c>
      <c r="AL19" s="87">
        <f>' Übersicht Umsätze '!AJ19</f>
        <v>0</v>
      </c>
      <c r="AM19" s="87">
        <f>' Übersicht Umsätze '!AK19</f>
        <v>0</v>
      </c>
      <c r="AN19" s="87">
        <f>' Übersicht Umsätze '!AL19</f>
        <v>0</v>
      </c>
      <c r="AO19" s="87">
        <f>' Übersicht Umsätze '!AM19</f>
        <v>0</v>
      </c>
      <c r="AP19" s="87">
        <f>' Übersicht Umsätze '!AN19</f>
        <v>0</v>
      </c>
      <c r="AQ19" s="98">
        <f t="shared" si="8"/>
        <v>13.000000000000002</v>
      </c>
    </row>
    <row r="20" spans="1:43">
      <c r="A20" s="35"/>
      <c r="B20" s="67" t="s">
        <v>25</v>
      </c>
      <c r="C20" s="85" t="s">
        <v>109</v>
      </c>
      <c r="D20" s="86" t="s">
        <v>40</v>
      </c>
      <c r="E20" s="87"/>
      <c r="F20" s="87"/>
      <c r="G20" s="87">
        <f>' Übersicht Umsätze '!E20</f>
        <v>0</v>
      </c>
      <c r="H20" s="87">
        <f>' Übersicht Umsätze '!F20</f>
        <v>0</v>
      </c>
      <c r="I20" s="87">
        <f>' Übersicht Umsätze '!G20</f>
        <v>3</v>
      </c>
      <c r="J20" s="87">
        <f>' Übersicht Umsätze '!H20</f>
        <v>0</v>
      </c>
      <c r="K20" s="87">
        <f>' Übersicht Umsätze '!I20</f>
        <v>0</v>
      </c>
      <c r="L20" s="87">
        <f>' Übersicht Umsätze '!J20</f>
        <v>2</v>
      </c>
      <c r="M20" s="87">
        <f>' Übersicht Umsätze '!K20</f>
        <v>1</v>
      </c>
      <c r="N20" s="87">
        <f>' Übersicht Umsätze '!L20</f>
        <v>1</v>
      </c>
      <c r="O20" s="87">
        <f>' Übersicht Umsätze '!M20</f>
        <v>2</v>
      </c>
      <c r="P20" s="87">
        <f>' Übersicht Umsätze '!N20</f>
        <v>1</v>
      </c>
      <c r="Q20" s="98">
        <f t="shared" si="6"/>
        <v>10</v>
      </c>
      <c r="R20" s="87">
        <f>' Übersicht Umsätze '!O20</f>
        <v>1</v>
      </c>
      <c r="S20" s="87">
        <f>' Übersicht Umsätze '!P20</f>
        <v>2.4700000000000002</v>
      </c>
      <c r="T20" s="87">
        <f>' Übersicht Umsätze '!R20</f>
        <v>3.21</v>
      </c>
      <c r="U20" s="87">
        <f>' Übersicht Umsätze '!S20</f>
        <v>2.94</v>
      </c>
      <c r="V20" s="87">
        <f>' Übersicht Umsätze '!T20</f>
        <v>3.3</v>
      </c>
      <c r="W20" s="87">
        <f>' Übersicht Umsätze '!U20</f>
        <v>3.32</v>
      </c>
      <c r="X20" s="87">
        <f>' Übersicht Umsätze '!V20</f>
        <v>4.21</v>
      </c>
      <c r="Y20" s="87">
        <f>' Übersicht Umsätze '!W20</f>
        <v>2.31</v>
      </c>
      <c r="Z20" s="87">
        <f>' Übersicht Umsätze '!X20</f>
        <v>2.4900000000000002</v>
      </c>
      <c r="AA20" s="87">
        <f>' Übersicht Umsätze '!Y20</f>
        <v>3.84</v>
      </c>
      <c r="AB20" s="87">
        <f>' Übersicht Umsätze '!Z20</f>
        <v>1.89</v>
      </c>
      <c r="AC20" s="87">
        <f>' Übersicht Umsätze '!AA20</f>
        <v>1.77</v>
      </c>
      <c r="AD20" s="98">
        <f t="shared" si="7"/>
        <v>32.75</v>
      </c>
      <c r="AE20" s="87">
        <f>' Übersicht Umsätze '!AB20</f>
        <v>3.63</v>
      </c>
      <c r="AF20" s="87">
        <f>' Übersicht Umsätze '!AC20</f>
        <v>2.69</v>
      </c>
      <c r="AG20" s="87">
        <f>' Übersicht Umsätze '!AE20</f>
        <v>0.71</v>
      </c>
      <c r="AH20" s="87">
        <f>' Übersicht Umsätze '!AF20</f>
        <v>1.1000000000000001</v>
      </c>
      <c r="AI20" s="87">
        <f>' Übersicht Umsätze '!AG20</f>
        <v>0.34</v>
      </c>
      <c r="AJ20" s="87">
        <f>' Übersicht Umsätze '!AH20</f>
        <v>0.75</v>
      </c>
      <c r="AK20" s="87">
        <f>' Übersicht Umsätze '!AI20</f>
        <v>0.56999999999999995</v>
      </c>
      <c r="AL20" s="87">
        <f>' Übersicht Umsätze '!AJ20</f>
        <v>0</v>
      </c>
      <c r="AM20" s="87">
        <f>' Übersicht Umsätze '!AK20</f>
        <v>0</v>
      </c>
      <c r="AN20" s="87">
        <f>' Übersicht Umsätze '!AL20</f>
        <v>0</v>
      </c>
      <c r="AO20" s="87">
        <f>' Übersicht Umsätze '!AM20</f>
        <v>0</v>
      </c>
      <c r="AP20" s="87">
        <f>' Übersicht Umsätze '!AN20</f>
        <v>0</v>
      </c>
      <c r="AQ20" s="98">
        <f t="shared" si="8"/>
        <v>9.7900000000000009</v>
      </c>
    </row>
    <row r="21" spans="1:43">
      <c r="A21" s="35"/>
      <c r="B21" s="38" t="s">
        <v>41</v>
      </c>
      <c r="C21" s="58" t="s">
        <v>108</v>
      </c>
      <c r="D21" s="33" t="s">
        <v>39</v>
      </c>
      <c r="E21" s="34"/>
      <c r="F21" s="34"/>
      <c r="G21" s="34"/>
      <c r="H21" s="34"/>
      <c r="I21" s="34">
        <f>' Übersicht Umsätze '!E21+' Übersicht Umsätze '!F21+' Übersicht Umsätze '!G21</f>
        <v>907</v>
      </c>
      <c r="J21" s="34"/>
      <c r="K21" s="34"/>
      <c r="L21" s="34">
        <f>' Übersicht Umsätze '!H21+' Übersicht Umsätze '!I21+' Übersicht Umsätze '!J21</f>
        <v>942</v>
      </c>
      <c r="M21" s="34"/>
      <c r="N21" s="34"/>
      <c r="O21" s="34"/>
      <c r="P21" s="34"/>
      <c r="Q21" s="99">
        <f t="shared" si="6"/>
        <v>1849</v>
      </c>
      <c r="R21" s="34"/>
      <c r="S21" s="34"/>
      <c r="T21" s="34">
        <f>' Übersicht Umsätze '!K21+' Übersicht Umsätze '!L21+' Übersicht Umsätze '!M21+' Übersicht Umsätze '!N21+' Übersicht Umsätze '!O21+' Übersicht Umsätze '!P21</f>
        <v>1445.6724360377846</v>
      </c>
      <c r="U21" s="34"/>
      <c r="V21" s="34"/>
      <c r="W21" s="34"/>
      <c r="X21" s="34"/>
      <c r="Y21" s="34"/>
      <c r="Z21" s="34"/>
      <c r="AA21" s="34"/>
      <c r="AB21" s="34"/>
      <c r="AC21" s="34"/>
      <c r="AD21" s="99">
        <f t="shared" si="7"/>
        <v>1445.6724360377846</v>
      </c>
      <c r="AE21" s="34"/>
      <c r="AF21" s="34"/>
      <c r="AG21" s="34">
        <f>' Übersicht Umsätze '!X21+' Übersicht Umsätze '!Y21+' Übersicht Umsätze '!Z21+' Übersicht Umsätze '!AA21+' Übersicht Umsätze '!AB21+' Übersicht Umsätze '!AC21</f>
        <v>1091.203358208955</v>
      </c>
      <c r="AH21" s="34"/>
      <c r="AI21" s="34"/>
      <c r="AJ21" s="34"/>
      <c r="AK21" s="34"/>
      <c r="AL21" s="34"/>
      <c r="AM21" s="34"/>
      <c r="AN21" s="34"/>
      <c r="AO21" s="34"/>
      <c r="AP21" s="34"/>
      <c r="AQ21" s="99">
        <f t="shared" si="8"/>
        <v>1091.203358208955</v>
      </c>
    </row>
    <row r="22" spans="1:43">
      <c r="A22" s="35"/>
      <c r="B22" s="38" t="s">
        <v>41</v>
      </c>
      <c r="C22" s="58" t="s">
        <v>15</v>
      </c>
      <c r="D22" s="33" t="s">
        <v>39</v>
      </c>
      <c r="E22" s="34"/>
      <c r="F22" s="34"/>
      <c r="G22" s="34"/>
      <c r="H22" s="34"/>
      <c r="I22" s="34">
        <f>' Übersicht Umsätze '!E22+' Übersicht Umsätze '!F22+' Übersicht Umsätze '!G22</f>
        <v>127</v>
      </c>
      <c r="J22" s="34"/>
      <c r="K22" s="34"/>
      <c r="L22" s="34">
        <f>' Übersicht Umsätze '!H22+' Übersicht Umsätze '!I22+' Übersicht Umsätze '!J22</f>
        <v>38.109979302481342</v>
      </c>
      <c r="M22" s="34"/>
      <c r="N22" s="34"/>
      <c r="O22" s="34"/>
      <c r="P22" s="34"/>
      <c r="Q22" s="99">
        <f t="shared" si="6"/>
        <v>165.10997930248135</v>
      </c>
      <c r="R22" s="34"/>
      <c r="S22" s="34"/>
      <c r="T22" s="34">
        <f>' Übersicht Umsätze '!K22+' Übersicht Umsätze '!L22+' Übersicht Umsätze '!M22+' Übersicht Umsätze '!N22+' Übersicht Umsätze '!O22+' Übersicht Umsätze '!P22</f>
        <v>330.94261676498974</v>
      </c>
      <c r="U22" s="34"/>
      <c r="V22" s="34"/>
      <c r="W22" s="34"/>
      <c r="X22" s="34"/>
      <c r="Y22" s="34"/>
      <c r="Z22" s="34"/>
      <c r="AA22" s="34"/>
      <c r="AB22" s="34"/>
      <c r="AC22" s="34"/>
      <c r="AD22" s="99">
        <f t="shared" si="7"/>
        <v>330.94261676498974</v>
      </c>
      <c r="AE22" s="34"/>
      <c r="AF22" s="34"/>
      <c r="AG22" s="34">
        <f>' Übersicht Umsätze '!X22+' Übersicht Umsätze '!Y22+' Übersicht Umsätze '!Z22+' Übersicht Umsätze '!AA22+' Übersicht Umsätze '!AB22+' Übersicht Umsätze '!AC22</f>
        <v>361.29664179104469</v>
      </c>
      <c r="AH22" s="34"/>
      <c r="AI22" s="34"/>
      <c r="AJ22" s="34"/>
      <c r="AK22" s="34"/>
      <c r="AL22" s="34"/>
      <c r="AM22" s="34"/>
      <c r="AN22" s="34"/>
      <c r="AO22" s="34"/>
      <c r="AP22" s="34"/>
      <c r="AQ22" s="99">
        <f t="shared" si="8"/>
        <v>361.29664179104469</v>
      </c>
    </row>
    <row r="23" spans="1:43">
      <c r="A23" s="35"/>
      <c r="B23" s="67" t="s">
        <v>30</v>
      </c>
      <c r="C23" s="85" t="s">
        <v>108</v>
      </c>
      <c r="D23" s="86" t="s">
        <v>40</v>
      </c>
      <c r="E23" s="87"/>
      <c r="F23" s="87">
        <f>' Übersicht Umsätze '!E23</f>
        <v>237</v>
      </c>
      <c r="G23" s="87">
        <f>' Übersicht Umsätze '!F23</f>
        <v>252</v>
      </c>
      <c r="H23" s="87">
        <f>' Übersicht Umsätze '!G23</f>
        <v>164</v>
      </c>
      <c r="I23" s="87">
        <f>' Übersicht Umsätze '!H23</f>
        <v>357</v>
      </c>
      <c r="J23" s="87">
        <f>' Übersicht Umsätze '!I23</f>
        <v>358</v>
      </c>
      <c r="K23" s="87">
        <f>' Übersicht Umsätze '!J23</f>
        <v>994</v>
      </c>
      <c r="L23" s="87">
        <f>' Übersicht Umsätze '!K23</f>
        <v>1159</v>
      </c>
      <c r="M23" s="87">
        <f>' Übersicht Umsätze '!L23</f>
        <v>691</v>
      </c>
      <c r="N23" s="87">
        <f>' Übersicht Umsätze '!M23</f>
        <v>821</v>
      </c>
      <c r="O23" s="87">
        <f>' Übersicht Umsätze '!N23</f>
        <v>900</v>
      </c>
      <c r="P23" s="87">
        <f>' Übersicht Umsätze '!O23</f>
        <v>877</v>
      </c>
      <c r="Q23" s="98">
        <f t="shared" si="6"/>
        <v>6810</v>
      </c>
      <c r="R23" s="87">
        <f>' Übersicht Umsätze '!P23</f>
        <v>1551</v>
      </c>
      <c r="S23" s="87">
        <f>' Übersicht Umsätze '!R23</f>
        <v>115</v>
      </c>
      <c r="T23" s="87">
        <f>' Übersicht Umsätze '!S23</f>
        <v>160</v>
      </c>
      <c r="U23" s="87">
        <f>' Übersicht Umsätze '!T23</f>
        <v>41</v>
      </c>
      <c r="V23" s="87">
        <f>' Übersicht Umsätze '!U23</f>
        <v>30</v>
      </c>
      <c r="W23" s="87">
        <f>' Übersicht Umsätze '!V23</f>
        <v>52</v>
      </c>
      <c r="X23" s="87">
        <f>' Übersicht Umsätze '!W23</f>
        <v>19</v>
      </c>
      <c r="Y23" s="87">
        <f>' Übersicht Umsätze '!X23</f>
        <v>35</v>
      </c>
      <c r="Z23" s="87">
        <f>' Übersicht Umsätze '!Y23</f>
        <v>7</v>
      </c>
      <c r="AA23" s="87">
        <f>' Übersicht Umsätze '!Z23</f>
        <v>0</v>
      </c>
      <c r="AB23" s="87">
        <f>' Übersicht Umsätze '!AA23</f>
        <v>0</v>
      </c>
      <c r="AC23" s="87">
        <f>' Übersicht Umsätze '!AB23</f>
        <v>0</v>
      </c>
      <c r="AD23" s="98">
        <f t="shared" si="7"/>
        <v>2010</v>
      </c>
      <c r="AE23" s="87">
        <f>' Übersicht Umsätze '!AC23</f>
        <v>0</v>
      </c>
      <c r="AF23" s="87">
        <f>' Übersicht Umsätze '!AE23</f>
        <v>0</v>
      </c>
      <c r="AG23" s="87">
        <f>' Übersicht Umsätze '!AF23</f>
        <v>0</v>
      </c>
      <c r="AH23" s="87">
        <f>' Übersicht Umsätze '!AG23</f>
        <v>0</v>
      </c>
      <c r="AI23" s="87">
        <f>' Übersicht Umsätze '!AH23</f>
        <v>0</v>
      </c>
      <c r="AJ23" s="87">
        <f>' Übersicht Umsätze '!AI23</f>
        <v>0</v>
      </c>
      <c r="AK23" s="87">
        <f>' Übersicht Umsätze '!AJ23</f>
        <v>0</v>
      </c>
      <c r="AL23" s="87">
        <f>' Übersicht Umsätze '!AK23</f>
        <v>0</v>
      </c>
      <c r="AM23" s="87">
        <f>' Übersicht Umsätze '!AL23</f>
        <v>0</v>
      </c>
      <c r="AN23" s="87">
        <f>' Übersicht Umsätze '!AM23</f>
        <v>0</v>
      </c>
      <c r="AO23" s="87">
        <f>' Übersicht Umsätze '!AN23</f>
        <v>0</v>
      </c>
      <c r="AP23" s="87">
        <f>' Übersicht Umsätze '!AO23</f>
        <v>0</v>
      </c>
      <c r="AQ23" s="98">
        <f t="shared" si="8"/>
        <v>0</v>
      </c>
    </row>
    <row r="24" spans="1:43">
      <c r="A24" s="35"/>
      <c r="B24" s="67" t="s">
        <v>30</v>
      </c>
      <c r="C24" s="85" t="s">
        <v>15</v>
      </c>
      <c r="D24" s="86" t="s">
        <v>40</v>
      </c>
      <c r="E24" s="87"/>
      <c r="F24" s="87">
        <f>' Übersicht Umsätze '!E24</f>
        <v>82</v>
      </c>
      <c r="G24" s="87">
        <f>' Übersicht Umsätze '!F24</f>
        <v>89</v>
      </c>
      <c r="H24" s="87">
        <f>' Übersicht Umsätze '!G24</f>
        <v>109</v>
      </c>
      <c r="I24" s="87">
        <f>' Übersicht Umsätze '!H24</f>
        <v>114</v>
      </c>
      <c r="J24" s="87">
        <f>' Übersicht Umsätze '!I24</f>
        <v>134</v>
      </c>
      <c r="K24" s="87">
        <f>' Übersicht Umsätze '!J24</f>
        <v>216</v>
      </c>
      <c r="L24" s="87">
        <f>' Übersicht Umsätze '!K24</f>
        <v>193</v>
      </c>
      <c r="M24" s="87">
        <f>' Übersicht Umsätze '!L24</f>
        <v>272</v>
      </c>
      <c r="N24" s="87">
        <f>' Übersicht Umsätze '!M24</f>
        <v>293</v>
      </c>
      <c r="O24" s="87">
        <f>' Übersicht Umsätze '!N24</f>
        <v>401</v>
      </c>
      <c r="P24" s="87">
        <f>' Übersicht Umsätze '!O24</f>
        <v>364</v>
      </c>
      <c r="Q24" s="98">
        <f t="shared" si="6"/>
        <v>2267</v>
      </c>
      <c r="R24" s="87">
        <f>' Übersicht Umsätze '!P24</f>
        <v>338</v>
      </c>
      <c r="S24" s="87">
        <f>' Übersicht Umsätze '!R24</f>
        <v>307</v>
      </c>
      <c r="T24" s="87">
        <f>' Übersicht Umsätze '!S24</f>
        <v>389</v>
      </c>
      <c r="U24" s="87">
        <f>' Übersicht Umsätze '!T24</f>
        <v>538</v>
      </c>
      <c r="V24" s="87">
        <f>' Übersicht Umsätze '!U24</f>
        <v>322</v>
      </c>
      <c r="W24" s="87">
        <f>' Übersicht Umsätze '!V24</f>
        <v>378</v>
      </c>
      <c r="X24" s="87">
        <f>' Übersicht Umsätze '!W24</f>
        <v>450</v>
      </c>
      <c r="Y24" s="87">
        <f>' Übersicht Umsätze '!X24</f>
        <v>348</v>
      </c>
      <c r="Z24" s="87">
        <f>' Übersicht Umsätze '!Y24</f>
        <v>92</v>
      </c>
      <c r="AA24" s="87">
        <f>' Übersicht Umsätze '!Z24</f>
        <v>0</v>
      </c>
      <c r="AB24" s="87">
        <f>' Übersicht Umsätze '!AA24</f>
        <v>0</v>
      </c>
      <c r="AC24" s="87">
        <f>' Übersicht Umsätze '!AB24</f>
        <v>0</v>
      </c>
      <c r="AD24" s="98">
        <f t="shared" si="7"/>
        <v>3162</v>
      </c>
      <c r="AE24" s="87">
        <f>' Übersicht Umsätze '!AC24</f>
        <v>0</v>
      </c>
      <c r="AF24" s="87">
        <f>' Übersicht Umsätze '!AE24</f>
        <v>0</v>
      </c>
      <c r="AG24" s="87">
        <f>' Übersicht Umsätze '!AF24</f>
        <v>0</v>
      </c>
      <c r="AH24" s="87">
        <f>' Übersicht Umsätze '!AG24</f>
        <v>0</v>
      </c>
      <c r="AI24" s="87">
        <f>' Übersicht Umsätze '!AH24</f>
        <v>0</v>
      </c>
      <c r="AJ24" s="87">
        <f>' Übersicht Umsätze '!AI24</f>
        <v>0</v>
      </c>
      <c r="AK24" s="87">
        <f>' Übersicht Umsätze '!AJ24</f>
        <v>0</v>
      </c>
      <c r="AL24" s="87">
        <f>' Übersicht Umsätze '!AK24</f>
        <v>0</v>
      </c>
      <c r="AM24" s="87">
        <f>' Übersicht Umsätze '!AL24</f>
        <v>0</v>
      </c>
      <c r="AN24" s="87">
        <f>' Übersicht Umsätze '!AM24</f>
        <v>0</v>
      </c>
      <c r="AO24" s="87">
        <f>' Übersicht Umsätze '!AN24</f>
        <v>0</v>
      </c>
      <c r="AP24" s="87">
        <f>' Übersicht Umsätze '!AO24</f>
        <v>0</v>
      </c>
      <c r="AQ24" s="98">
        <f t="shared" si="8"/>
        <v>0</v>
      </c>
    </row>
    <row r="25" spans="1:43">
      <c r="A25" s="35"/>
      <c r="B25" s="67" t="s">
        <v>30</v>
      </c>
      <c r="C25" s="85" t="s">
        <v>109</v>
      </c>
      <c r="D25" s="86" t="s">
        <v>40</v>
      </c>
      <c r="E25" s="87"/>
      <c r="F25" s="87">
        <f>' Übersicht Umsätze '!E25</f>
        <v>973</v>
      </c>
      <c r="G25" s="87">
        <f>' Übersicht Umsätze '!F25</f>
        <v>795</v>
      </c>
      <c r="H25" s="87">
        <f>' Übersicht Umsätze '!G25</f>
        <v>524</v>
      </c>
      <c r="I25" s="87">
        <f>' Übersicht Umsätze '!H25</f>
        <v>748</v>
      </c>
      <c r="J25" s="87">
        <f>' Übersicht Umsätze '!I25</f>
        <v>1217</v>
      </c>
      <c r="K25" s="87">
        <f>' Übersicht Umsätze '!J25</f>
        <v>1205</v>
      </c>
      <c r="L25" s="87">
        <f>' Übersicht Umsätze '!K25</f>
        <v>789</v>
      </c>
      <c r="M25" s="87">
        <f>' Übersicht Umsätze '!L25</f>
        <v>404</v>
      </c>
      <c r="N25" s="87">
        <f>' Übersicht Umsätze '!M25</f>
        <v>671</v>
      </c>
      <c r="O25" s="87">
        <f>' Übersicht Umsätze '!N25</f>
        <v>1159</v>
      </c>
      <c r="P25" s="87">
        <f>' Übersicht Umsätze '!O25</f>
        <v>831</v>
      </c>
      <c r="Q25" s="98">
        <f t="shared" si="6"/>
        <v>9316</v>
      </c>
      <c r="R25" s="87">
        <f>' Übersicht Umsätze '!P25</f>
        <v>500</v>
      </c>
      <c r="S25" s="87">
        <f>' Übersicht Umsätze '!R25</f>
        <v>133</v>
      </c>
      <c r="T25" s="87">
        <f>' Übersicht Umsätze '!S25</f>
        <v>21</v>
      </c>
      <c r="U25" s="87">
        <f>' Übersicht Umsätze '!T25</f>
        <v>29</v>
      </c>
      <c r="V25" s="87">
        <f>' Übersicht Umsätze '!U25</f>
        <v>30</v>
      </c>
      <c r="W25" s="87">
        <f>' Übersicht Umsätze '!V25</f>
        <v>87</v>
      </c>
      <c r="X25" s="87">
        <f>' Übersicht Umsätze '!W25</f>
        <v>43</v>
      </c>
      <c r="Y25" s="87">
        <f>' Übersicht Umsätze '!X25</f>
        <v>81</v>
      </c>
      <c r="Z25" s="87">
        <f>' Übersicht Umsätze '!Y25</f>
        <v>18</v>
      </c>
      <c r="AA25" s="87">
        <f>' Übersicht Umsätze '!Z25</f>
        <v>0</v>
      </c>
      <c r="AB25" s="87">
        <f>' Übersicht Umsätze '!AA25</f>
        <v>0</v>
      </c>
      <c r="AC25" s="87">
        <f>' Übersicht Umsätze '!AB25</f>
        <v>0</v>
      </c>
      <c r="AD25" s="98">
        <f t="shared" si="7"/>
        <v>942</v>
      </c>
      <c r="AE25" s="87">
        <f>' Übersicht Umsätze '!AC25</f>
        <v>0</v>
      </c>
      <c r="AF25" s="87">
        <f>' Übersicht Umsätze '!AE25</f>
        <v>0</v>
      </c>
      <c r="AG25" s="87">
        <f>' Übersicht Umsätze '!AF25</f>
        <v>0</v>
      </c>
      <c r="AH25" s="87">
        <f>' Übersicht Umsätze '!AG25</f>
        <v>0</v>
      </c>
      <c r="AI25" s="87">
        <f>' Übersicht Umsätze '!AH25</f>
        <v>0</v>
      </c>
      <c r="AJ25" s="87">
        <f>' Übersicht Umsätze '!AI25</f>
        <v>0</v>
      </c>
      <c r="AK25" s="87">
        <f>' Übersicht Umsätze '!AJ25</f>
        <v>0</v>
      </c>
      <c r="AL25" s="87">
        <f>' Übersicht Umsätze '!AK25</f>
        <v>0</v>
      </c>
      <c r="AM25" s="87">
        <f>' Übersicht Umsätze '!AL25</f>
        <v>0</v>
      </c>
      <c r="AN25" s="87">
        <f>' Übersicht Umsätze '!AM25</f>
        <v>0</v>
      </c>
      <c r="AO25" s="87">
        <f>' Übersicht Umsätze '!AN25</f>
        <v>0</v>
      </c>
      <c r="AP25" s="87">
        <f>' Übersicht Umsätze '!AO25</f>
        <v>0</v>
      </c>
      <c r="AQ25" s="98">
        <f t="shared" si="8"/>
        <v>0</v>
      </c>
    </row>
    <row r="26" spans="1:43">
      <c r="A26" s="35"/>
      <c r="B26" s="38" t="s">
        <v>3</v>
      </c>
      <c r="C26" s="58" t="s">
        <v>108</v>
      </c>
      <c r="D26" s="33" t="s">
        <v>39</v>
      </c>
      <c r="E26" s="34"/>
      <c r="F26" s="34"/>
      <c r="G26" s="34"/>
      <c r="H26" s="34"/>
      <c r="I26" s="34">
        <f>' Übersicht Umsätze '!E26+' Übersicht Umsätze '!F26</f>
        <v>1972.64840247027</v>
      </c>
      <c r="J26" s="34"/>
      <c r="K26" s="34"/>
      <c r="L26" s="34">
        <f>' Übersicht Umsätze '!G26+' Übersicht Umsätze '!H26+' Übersicht Umsätze '!I26</f>
        <v>2266.6403132159039</v>
      </c>
      <c r="M26" s="34"/>
      <c r="N26" s="34"/>
      <c r="O26" s="34">
        <f>' Übersicht Umsätze '!J26+' Übersicht Umsätze '!K26+' Übersicht Umsätze '!L26</f>
        <v>1327.399734028716</v>
      </c>
      <c r="P26" s="34"/>
      <c r="Q26" s="99">
        <f t="shared" si="6"/>
        <v>5566.6884497148903</v>
      </c>
      <c r="R26" s="34"/>
      <c r="S26" s="34">
        <f>' Übersicht Umsätze '!M26+' Übersicht Umsätze '!N26+' Übersicht Umsätze '!O26</f>
        <v>1215.1590685393853</v>
      </c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99">
        <f t="shared" si="7"/>
        <v>1215.1590685393853</v>
      </c>
      <c r="AE26" s="34"/>
      <c r="AF26" s="34">
        <f>' Übersicht Umsätze '!Z26+' Übersicht Umsätze '!AA26+' Übersicht Umsätze '!AB26</f>
        <v>0</v>
      </c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99">
        <f t="shared" si="8"/>
        <v>0</v>
      </c>
    </row>
    <row r="27" spans="1:43">
      <c r="A27" s="35"/>
      <c r="B27" s="38" t="s">
        <v>3</v>
      </c>
      <c r="C27" s="58" t="s">
        <v>15</v>
      </c>
      <c r="D27" s="33" t="s">
        <v>39</v>
      </c>
      <c r="E27" s="34"/>
      <c r="F27" s="34"/>
      <c r="G27" s="34"/>
      <c r="H27" s="34"/>
      <c r="I27" s="34">
        <f>' Übersicht Umsätze '!E27+' Übersicht Umsätze '!F27</f>
        <v>57.455668319013718</v>
      </c>
      <c r="J27" s="34"/>
      <c r="K27" s="34"/>
      <c r="L27" s="34">
        <f>' Übersicht Umsätze '!G27+' Übersicht Umsätze '!H27+' Übersicht Umsätze '!I27</f>
        <v>49.192500464080197</v>
      </c>
      <c r="M27" s="34"/>
      <c r="N27" s="34"/>
      <c r="O27" s="34">
        <f>' Übersicht Umsätze '!J27+' Übersicht Umsätze '!K27+' Übersicht Umsätze '!L27</f>
        <v>1309.1197988970366</v>
      </c>
      <c r="P27" s="34"/>
      <c r="Q27" s="99">
        <f t="shared" si="6"/>
        <v>1415.7679676801306</v>
      </c>
      <c r="R27" s="34"/>
      <c r="S27" s="34">
        <f>' Übersicht Umsätze '!M27+' Übersicht Umsätze '!N27+' Übersicht Umsätze '!O27</f>
        <v>19303.858906219852</v>
      </c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99">
        <f t="shared" si="7"/>
        <v>19303.858906219852</v>
      </c>
      <c r="AE27" s="34"/>
      <c r="AF27" s="34">
        <f>' Übersicht Umsätze '!Z27+' Übersicht Umsätze '!AA27+' Übersicht Umsätze '!AB27</f>
        <v>0</v>
      </c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99">
        <f t="shared" si="8"/>
        <v>0</v>
      </c>
    </row>
    <row r="28" spans="1:43">
      <c r="A28" s="35"/>
      <c r="B28" s="38" t="s">
        <v>3</v>
      </c>
      <c r="C28" s="58" t="s">
        <v>109</v>
      </c>
      <c r="D28" s="33" t="s">
        <v>39</v>
      </c>
      <c r="E28" s="34"/>
      <c r="F28" s="34"/>
      <c r="G28" s="34"/>
      <c r="H28" s="34"/>
      <c r="I28" s="34">
        <f>' Übersicht Umsätze '!E28+' Übersicht Umsätze '!F28</f>
        <v>0</v>
      </c>
      <c r="J28" s="34"/>
      <c r="K28" s="34"/>
      <c r="L28" s="34">
        <f>' Übersicht Umsätze '!G28+' Übersicht Umsätze '!H28+' Übersicht Umsätze '!I28</f>
        <v>21.106015497238776</v>
      </c>
      <c r="M28" s="34"/>
      <c r="N28" s="34"/>
      <c r="O28" s="34">
        <f>' Übersicht Umsätze '!J28+' Übersicht Umsätze '!K28+' Übersicht Umsätze '!L28</f>
        <v>20.743889164079505</v>
      </c>
      <c r="P28" s="34"/>
      <c r="Q28" s="99">
        <f t="shared" si="6"/>
        <v>41.849904661318277</v>
      </c>
      <c r="R28" s="34"/>
      <c r="S28" s="34">
        <f>' Übersicht Umsätze '!M28+' Übersicht Umsätze '!N28+' Übersicht Umsätze '!O28</f>
        <v>149.11434776573128</v>
      </c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99">
        <f t="shared" si="7"/>
        <v>149.11434776573128</v>
      </c>
      <c r="AE28" s="34"/>
      <c r="AF28" s="34">
        <f>' Übersicht Umsätze '!Z28+' Übersicht Umsätze '!AA28+' Übersicht Umsätze '!AB28</f>
        <v>0</v>
      </c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99">
        <f t="shared" si="8"/>
        <v>0</v>
      </c>
    </row>
    <row r="29" spans="1:43">
      <c r="A29" s="35"/>
      <c r="B29" s="67" t="s">
        <v>1</v>
      </c>
      <c r="C29" s="65" t="s">
        <v>108</v>
      </c>
      <c r="D29" s="86" t="s">
        <v>40</v>
      </c>
      <c r="E29" s="87"/>
      <c r="F29" s="87">
        <f>' Übersicht Umsätze '!E29</f>
        <v>1399.9999999999998</v>
      </c>
      <c r="G29" s="87">
        <f>' Übersicht Umsätze '!F29</f>
        <v>1418.018018018018</v>
      </c>
      <c r="H29" s="87">
        <f>' Übersicht Umsätze '!G29</f>
        <v>1699.090909090909</v>
      </c>
      <c r="I29" s="87">
        <f>' Übersicht Umsätze '!H29</f>
        <v>1766.0377358490566</v>
      </c>
      <c r="J29" s="87">
        <f>' Übersicht Umsätze '!I29</f>
        <v>2714.67</v>
      </c>
      <c r="K29" s="87">
        <f>' Übersicht Umsätze '!J29</f>
        <v>2460</v>
      </c>
      <c r="L29" s="87">
        <f>' Übersicht Umsätze '!K29</f>
        <v>2355.16</v>
      </c>
      <c r="M29" s="87">
        <f>' Übersicht Umsätze '!L29</f>
        <v>1791</v>
      </c>
      <c r="N29" s="87">
        <f>' Übersicht Umsätze '!M29</f>
        <v>1670</v>
      </c>
      <c r="O29" s="87">
        <f>' Übersicht Umsätze '!N29</f>
        <v>1251</v>
      </c>
      <c r="P29" s="87">
        <f>' Übersicht Umsätze '!O29</f>
        <v>1058.7</v>
      </c>
      <c r="Q29" s="98">
        <f t="shared" si="6"/>
        <v>19583.676662957983</v>
      </c>
      <c r="R29" s="87">
        <f>' Übersicht Umsätze '!P29</f>
        <v>1429.9499999999998</v>
      </c>
      <c r="S29" s="87">
        <f>' Übersicht Umsätze '!R29</f>
        <v>645.29999999999995</v>
      </c>
      <c r="T29" s="87">
        <f>' Übersicht Umsätze '!S29</f>
        <v>495.5</v>
      </c>
      <c r="U29" s="87">
        <f>' Übersicht Umsätze '!T29</f>
        <v>708.47</v>
      </c>
      <c r="V29" s="87">
        <f>' Übersicht Umsätze '!U29</f>
        <v>523.94999999999993</v>
      </c>
      <c r="W29" s="87">
        <f>' Übersicht Umsätze '!V29</f>
        <v>774.06</v>
      </c>
      <c r="X29" s="87">
        <f>' Übersicht Umsätze '!W29</f>
        <v>1199.23</v>
      </c>
      <c r="Y29" s="87">
        <f>' Übersicht Umsätze '!X29</f>
        <v>771.06</v>
      </c>
      <c r="Z29" s="87">
        <f>' Übersicht Umsätze '!Y29</f>
        <v>692.77</v>
      </c>
      <c r="AA29" s="87">
        <f>' Übersicht Umsätze '!Z29</f>
        <v>712.93399999999997</v>
      </c>
      <c r="AB29" s="87">
        <f>' Übersicht Umsätze '!AA29</f>
        <v>496.02</v>
      </c>
      <c r="AC29" s="87">
        <f>' Übersicht Umsätze '!AB29</f>
        <v>543.24</v>
      </c>
      <c r="AD29" s="98">
        <f t="shared" si="7"/>
        <v>8992.4839999999986</v>
      </c>
      <c r="AE29" s="87">
        <f>' Übersicht Umsätze '!AC29</f>
        <v>533.51</v>
      </c>
      <c r="AF29" s="87">
        <f>' Übersicht Umsätze '!AE29</f>
        <v>260.14</v>
      </c>
      <c r="AG29" s="87">
        <f>' Übersicht Umsätze '!AF29</f>
        <v>218.89999999999998</v>
      </c>
      <c r="AH29" s="87">
        <f>' Übersicht Umsätze '!AG29</f>
        <v>285.34000000000003</v>
      </c>
      <c r="AI29" s="87">
        <f>' Übersicht Umsätze '!AH29</f>
        <v>310.76</v>
      </c>
      <c r="AJ29" s="87">
        <f>' Übersicht Umsätze '!AI29</f>
        <v>426.41999999999996</v>
      </c>
      <c r="AK29" s="87">
        <f>' Übersicht Umsätze '!AJ29</f>
        <v>774.87</v>
      </c>
      <c r="AL29" s="87">
        <f>' Übersicht Umsätze '!AK29</f>
        <v>575.12</v>
      </c>
      <c r="AM29" s="87">
        <f>' Übersicht Umsätze '!AL29</f>
        <v>1134.8699999999999</v>
      </c>
      <c r="AN29" s="87">
        <f>' Übersicht Umsätze '!AM29</f>
        <v>0</v>
      </c>
      <c r="AO29" s="87">
        <f>' Übersicht Umsätze '!AN29</f>
        <v>0</v>
      </c>
      <c r="AP29" s="87">
        <f>' Übersicht Umsätze '!AO29</f>
        <v>0</v>
      </c>
      <c r="AQ29" s="98">
        <f t="shared" si="8"/>
        <v>4519.9299999999994</v>
      </c>
    </row>
    <row r="30" spans="1:43">
      <c r="A30" s="35"/>
      <c r="B30" s="67" t="s">
        <v>1</v>
      </c>
      <c r="C30" s="65" t="s">
        <v>15</v>
      </c>
      <c r="D30" s="86" t="s">
        <v>40</v>
      </c>
      <c r="E30" s="87"/>
      <c r="F30" s="87">
        <f>' Übersicht Umsätze '!E30</f>
        <v>45.045045045045043</v>
      </c>
      <c r="G30" s="87">
        <f>' Übersicht Umsätze '!F30</f>
        <v>9.0090090090090076</v>
      </c>
      <c r="H30" s="87">
        <f>' Übersicht Umsätze '!G30</f>
        <v>14.545454545454545</v>
      </c>
      <c r="I30" s="87">
        <f>' Übersicht Umsätze '!H30</f>
        <v>51.886792452830186</v>
      </c>
      <c r="J30" s="87">
        <f>' Übersicht Umsätze '!I30</f>
        <v>32.550000000000004</v>
      </c>
      <c r="K30" s="87">
        <f>' Übersicht Umsätze '!J30</f>
        <v>0</v>
      </c>
      <c r="L30" s="87">
        <f>' Übersicht Umsätze '!K30</f>
        <v>8.73</v>
      </c>
      <c r="M30" s="87">
        <f>' Übersicht Umsätze '!L30</f>
        <v>1</v>
      </c>
      <c r="N30" s="87">
        <f>' Übersicht Umsätze '!M30</f>
        <v>5</v>
      </c>
      <c r="O30" s="87">
        <f>' Übersicht Umsätze '!N30</f>
        <v>73</v>
      </c>
      <c r="P30" s="87">
        <f>' Übersicht Umsätze '!O30</f>
        <v>37.369999999999997</v>
      </c>
      <c r="Q30" s="98">
        <f t="shared" si="6"/>
        <v>278.13630105233875</v>
      </c>
      <c r="R30" s="87">
        <f>' Übersicht Umsätze '!P30</f>
        <v>89.23</v>
      </c>
      <c r="S30" s="87">
        <f>' Übersicht Umsätze '!R30</f>
        <v>89.37</v>
      </c>
      <c r="T30" s="87">
        <f>' Übersicht Umsätze '!S30</f>
        <v>28.35</v>
      </c>
      <c r="U30" s="87">
        <f>' Übersicht Umsätze '!T30</f>
        <v>28.3</v>
      </c>
      <c r="V30" s="87">
        <f>' Übersicht Umsätze '!U30</f>
        <v>0.14000000000000001</v>
      </c>
      <c r="W30" s="87">
        <f>' Übersicht Umsätze '!V30</f>
        <v>0.44</v>
      </c>
      <c r="X30" s="87">
        <f>' Übersicht Umsätze '!W30</f>
        <v>0.43</v>
      </c>
      <c r="Y30" s="87">
        <f>' Übersicht Umsätze '!X30</f>
        <v>5.53</v>
      </c>
      <c r="Z30" s="87">
        <f>' Übersicht Umsätze '!Y30</f>
        <v>2.92</v>
      </c>
      <c r="AA30" s="87">
        <f>' Übersicht Umsätze '!Z30</f>
        <v>3.19</v>
      </c>
      <c r="AB30" s="87">
        <f>' Übersicht Umsätze '!AA30</f>
        <v>7.66</v>
      </c>
      <c r="AC30" s="87">
        <f>' Übersicht Umsätze '!AB30</f>
        <v>21.64</v>
      </c>
      <c r="AD30" s="98">
        <f t="shared" si="7"/>
        <v>277.2</v>
      </c>
      <c r="AE30" s="87">
        <f>' Übersicht Umsätze '!AC30</f>
        <v>0.61</v>
      </c>
      <c r="AF30" s="87">
        <f>' Übersicht Umsätze '!AE30</f>
        <v>0.6</v>
      </c>
      <c r="AG30" s="87">
        <f>' Übersicht Umsätze '!AF30</f>
        <v>0.82</v>
      </c>
      <c r="AH30" s="87">
        <f>' Übersicht Umsätze '!AG30</f>
        <v>0.33</v>
      </c>
      <c r="AI30" s="87">
        <f>' Übersicht Umsätze '!AH30</f>
        <v>0.3</v>
      </c>
      <c r="AJ30" s="87">
        <f>' Übersicht Umsätze '!AI30</f>
        <v>3.72</v>
      </c>
      <c r="AK30" s="87">
        <f>' Übersicht Umsätze '!AJ30</f>
        <v>4.8099999999999996</v>
      </c>
      <c r="AL30" s="87">
        <f>' Übersicht Umsätze '!AK30</f>
        <v>2.5299999999999998</v>
      </c>
      <c r="AM30" s="87">
        <f>' Übersicht Umsätze '!AL30</f>
        <v>0.83</v>
      </c>
      <c r="AN30" s="87">
        <f>' Übersicht Umsätze '!AM30</f>
        <v>0</v>
      </c>
      <c r="AO30" s="87">
        <f>' Übersicht Umsätze '!AN30</f>
        <v>0</v>
      </c>
      <c r="AP30" s="87">
        <f>' Übersicht Umsätze '!AO30</f>
        <v>0</v>
      </c>
      <c r="AQ30" s="98">
        <f t="shared" si="8"/>
        <v>14.549999999999999</v>
      </c>
    </row>
    <row r="31" spans="1:43">
      <c r="A31" s="35"/>
      <c r="B31" s="67" t="s">
        <v>1</v>
      </c>
      <c r="C31" s="65" t="s">
        <v>109</v>
      </c>
      <c r="D31" s="86" t="s">
        <v>40</v>
      </c>
      <c r="E31" s="87"/>
      <c r="F31" s="87">
        <f>' Übersicht Umsätze '!E31</f>
        <v>100.90090090090089</v>
      </c>
      <c r="G31" s="87">
        <f>' Übersicht Umsätze '!F31</f>
        <v>203.60360360360357</v>
      </c>
      <c r="H31" s="87">
        <f>' Übersicht Umsätze '!G31</f>
        <v>237.27272727272725</v>
      </c>
      <c r="I31" s="87">
        <f>' Übersicht Umsätze '!H31</f>
        <v>328.30188679245282</v>
      </c>
      <c r="J31" s="87">
        <f>' Übersicht Umsätze '!I31</f>
        <v>359.91</v>
      </c>
      <c r="K31" s="87">
        <f>' Übersicht Umsätze '!J31</f>
        <v>460</v>
      </c>
      <c r="L31" s="87">
        <f>' Übersicht Umsätze '!K31</f>
        <v>135.79999999999998</v>
      </c>
      <c r="M31" s="87">
        <f>' Übersicht Umsätze '!L31</f>
        <v>157</v>
      </c>
      <c r="N31" s="87">
        <f>' Übersicht Umsätze '!M31</f>
        <v>157</v>
      </c>
      <c r="O31" s="87">
        <f>' Übersicht Umsätze '!N31</f>
        <v>107</v>
      </c>
      <c r="P31" s="87">
        <f>' Übersicht Umsätze '!O31</f>
        <v>113.89</v>
      </c>
      <c r="Q31" s="98">
        <f t="shared" si="6"/>
        <v>2360.6791185696843</v>
      </c>
      <c r="R31" s="87">
        <f>' Übersicht Umsätze '!P31</f>
        <v>77.5</v>
      </c>
      <c r="S31" s="87">
        <f>' Übersicht Umsätze '!R31</f>
        <v>62.43</v>
      </c>
      <c r="T31" s="87">
        <f>' Übersicht Umsätze '!S31</f>
        <v>56.92</v>
      </c>
      <c r="U31" s="87">
        <f>' Übersicht Umsätze '!T31</f>
        <v>33.01</v>
      </c>
      <c r="V31" s="87">
        <f>' Übersicht Umsätze '!U31</f>
        <v>8.4499999999999993</v>
      </c>
      <c r="W31" s="87">
        <f>' Übersicht Umsätze '!V31</f>
        <v>14.91</v>
      </c>
      <c r="X31" s="87">
        <f>' Übersicht Umsätze '!W31</f>
        <v>10.32</v>
      </c>
      <c r="Y31" s="87">
        <f>' Übersicht Umsätze '!X31</f>
        <v>3.09</v>
      </c>
      <c r="Z31" s="87">
        <f>' Übersicht Umsätze '!Y31</f>
        <v>18.73</v>
      </c>
      <c r="AA31" s="87">
        <f>' Übersicht Umsätze '!Z31</f>
        <v>19.96</v>
      </c>
      <c r="AB31" s="87">
        <f>' Übersicht Umsätze '!AA31</f>
        <v>22.65</v>
      </c>
      <c r="AC31" s="87">
        <f>' Übersicht Umsätze '!AB31</f>
        <v>33.79</v>
      </c>
      <c r="AD31" s="98">
        <f t="shared" si="7"/>
        <v>361.76</v>
      </c>
      <c r="AE31" s="87">
        <f>' Übersicht Umsätze '!AC31</f>
        <v>24.26</v>
      </c>
      <c r="AF31" s="87">
        <f>' Übersicht Umsätze '!AE31</f>
        <v>29.47</v>
      </c>
      <c r="AG31" s="87">
        <f>' Übersicht Umsätze '!AF31</f>
        <v>39.96</v>
      </c>
      <c r="AH31" s="87">
        <f>' Übersicht Umsätze '!AG31</f>
        <v>32.33</v>
      </c>
      <c r="AI31" s="87">
        <f>' Übersicht Umsätze '!AH31</f>
        <v>16.04</v>
      </c>
      <c r="AJ31" s="87">
        <f>' Übersicht Umsätze '!AI31</f>
        <v>44</v>
      </c>
      <c r="AK31" s="87">
        <f>' Übersicht Umsätze '!AJ31</f>
        <v>85.33</v>
      </c>
      <c r="AL31" s="87">
        <f>' Übersicht Umsätze '!AK31</f>
        <v>20.78</v>
      </c>
      <c r="AM31" s="87">
        <f>' Übersicht Umsätze '!AL31</f>
        <v>19.02</v>
      </c>
      <c r="AN31" s="87">
        <f>' Übersicht Umsätze '!AM31</f>
        <v>0</v>
      </c>
      <c r="AO31" s="87">
        <f>' Übersicht Umsätze '!AN31</f>
        <v>0</v>
      </c>
      <c r="AP31" s="87">
        <f>' Übersicht Umsätze '!AO31</f>
        <v>0</v>
      </c>
      <c r="AQ31" s="98">
        <f t="shared" si="8"/>
        <v>311.18999999999994</v>
      </c>
    </row>
    <row r="32" spans="1:43">
      <c r="A32" s="35"/>
      <c r="B32" s="37" t="s">
        <v>45</v>
      </c>
      <c r="C32" s="58" t="s">
        <v>108</v>
      </c>
      <c r="D32" s="33" t="s">
        <v>40</v>
      </c>
      <c r="E32" s="34"/>
      <c r="F32" s="34"/>
      <c r="G32" s="34"/>
      <c r="H32" s="34"/>
      <c r="I32" s="34"/>
      <c r="J32" s="34"/>
      <c r="K32" s="34"/>
      <c r="L32" s="34">
        <f>' Übersicht Umsätze '!J32</f>
        <v>638.11999999999989</v>
      </c>
      <c r="M32" s="34">
        <f>' Übersicht Umsätze '!K32</f>
        <v>1530</v>
      </c>
      <c r="N32" s="34">
        <f>' Übersicht Umsätze '!L32</f>
        <v>3021.4199999999996</v>
      </c>
      <c r="O32" s="34">
        <f>' Übersicht Umsätze '!M32</f>
        <v>4092.79</v>
      </c>
      <c r="P32" s="34">
        <f>' Übersicht Umsätze '!N32</f>
        <v>3002.06</v>
      </c>
      <c r="Q32" s="99">
        <f t="shared" si="6"/>
        <v>12284.389999999998</v>
      </c>
      <c r="R32" s="34">
        <f>' Übersicht Umsätze '!O32</f>
        <v>1646.6699999999998</v>
      </c>
      <c r="S32" s="34">
        <f>' Übersicht Umsätze '!P32</f>
        <v>1207.0700000000002</v>
      </c>
      <c r="T32" s="34">
        <f>' Übersicht Umsätze '!R32</f>
        <v>2109.04</v>
      </c>
      <c r="U32" s="34">
        <f>' Übersicht Umsätze '!S32</f>
        <v>1494.5700000000002</v>
      </c>
      <c r="V32" s="34">
        <f>' Übersicht Umsätze '!T32</f>
        <v>1299.04</v>
      </c>
      <c r="W32" s="34">
        <f>' Übersicht Umsätze '!U32</f>
        <v>785.20999999999992</v>
      </c>
      <c r="X32" s="34">
        <f>' Übersicht Umsätze '!V32</f>
        <v>1186.02</v>
      </c>
      <c r="Y32" s="34">
        <f>' Übersicht Umsätze '!W32</f>
        <v>974.04</v>
      </c>
      <c r="Z32" s="34">
        <f>' Übersicht Umsätze '!X32</f>
        <v>377.71999999999997</v>
      </c>
      <c r="AA32" s="34">
        <f>' Übersicht Umsätze '!Y32</f>
        <v>586.79</v>
      </c>
      <c r="AB32" s="34">
        <f>' Übersicht Umsätze '!Z32</f>
        <v>74.47999999999999</v>
      </c>
      <c r="AC32" s="34">
        <f>' Übersicht Umsätze '!AA32</f>
        <v>41.22</v>
      </c>
      <c r="AD32" s="99">
        <f t="shared" si="7"/>
        <v>11781.869999999997</v>
      </c>
      <c r="AE32" s="34">
        <f>' Übersicht Umsätze '!AB32</f>
        <v>95.18</v>
      </c>
      <c r="AF32" s="34">
        <f>' Übersicht Umsätze '!AC32</f>
        <v>87.91</v>
      </c>
      <c r="AG32" s="34">
        <f>' Übersicht Umsätze '!AE32</f>
        <v>60.569999999999993</v>
      </c>
      <c r="AH32" s="34">
        <f>' Übersicht Umsätze '!AF32</f>
        <v>20.69</v>
      </c>
      <c r="AI32" s="34">
        <f>' Übersicht Umsätze '!AG32</f>
        <v>20.5</v>
      </c>
      <c r="AJ32" s="34">
        <f>' Übersicht Umsätze '!AH32</f>
        <v>14.94</v>
      </c>
      <c r="AK32" s="34">
        <f>' Übersicht Umsätze '!AI32</f>
        <v>41.57</v>
      </c>
      <c r="AL32" s="34">
        <f>' Übersicht Umsätze '!AJ32</f>
        <v>27.03</v>
      </c>
      <c r="AM32" s="34">
        <f>' Übersicht Umsätze '!AK32</f>
        <v>18.220000000000002</v>
      </c>
      <c r="AN32" s="34">
        <f>' Übersicht Umsätze '!AL32</f>
        <v>15.9</v>
      </c>
      <c r="AO32" s="34">
        <f>' Übersicht Umsätze '!AM32</f>
        <v>0</v>
      </c>
      <c r="AP32" s="34">
        <f>' Übersicht Umsätze '!AN32</f>
        <v>0</v>
      </c>
      <c r="AQ32" s="99">
        <f t="shared" si="8"/>
        <v>402.51</v>
      </c>
    </row>
    <row r="33" spans="1:43">
      <c r="A33" s="35"/>
      <c r="B33" s="37" t="s">
        <v>45</v>
      </c>
      <c r="C33" s="58" t="s">
        <v>15</v>
      </c>
      <c r="D33" s="33" t="s">
        <v>40</v>
      </c>
      <c r="E33" s="34"/>
      <c r="F33" s="34"/>
      <c r="G33" s="34"/>
      <c r="H33" s="34"/>
      <c r="I33" s="34"/>
      <c r="J33" s="34"/>
      <c r="K33" s="34"/>
      <c r="L33" s="34">
        <f>' Übersicht Umsätze '!J33</f>
        <v>199.99</v>
      </c>
      <c r="M33" s="34">
        <f>' Übersicht Umsätze '!K33</f>
        <v>1631</v>
      </c>
      <c r="N33" s="34">
        <f>' Übersicht Umsätze '!L33</f>
        <v>1631.65</v>
      </c>
      <c r="O33" s="34">
        <f>' Übersicht Umsätze '!M33</f>
        <v>6107.4</v>
      </c>
      <c r="P33" s="34">
        <f>' Übersicht Umsätze '!N33</f>
        <v>3090.09</v>
      </c>
      <c r="Q33" s="99">
        <f t="shared" si="6"/>
        <v>12660.130000000001</v>
      </c>
      <c r="R33" s="34">
        <f>' Übersicht Umsätze '!O33</f>
        <v>3681.15</v>
      </c>
      <c r="S33" s="34">
        <f>' Übersicht Umsätze '!P33</f>
        <v>4814.8500000000004</v>
      </c>
      <c r="T33" s="34">
        <f>' Übersicht Umsätze '!R33</f>
        <v>1608.35</v>
      </c>
      <c r="U33" s="34">
        <f>' Übersicht Umsätze '!S33</f>
        <v>1067.0899999999999</v>
      </c>
      <c r="V33" s="34">
        <f>' Übersicht Umsätze '!T33</f>
        <v>1466.73</v>
      </c>
      <c r="W33" s="34">
        <f>' Übersicht Umsätze '!U33</f>
        <v>679.71</v>
      </c>
      <c r="X33" s="34">
        <f>' Übersicht Umsätze '!V33</f>
        <v>820.76</v>
      </c>
      <c r="Y33" s="34">
        <f>' Übersicht Umsätze '!W33</f>
        <v>2062.23</v>
      </c>
      <c r="Z33" s="34">
        <f>' Übersicht Umsätze '!X33</f>
        <v>2168.7199999999998</v>
      </c>
      <c r="AA33" s="34">
        <f>' Übersicht Umsätze '!Y33</f>
        <v>1881.65</v>
      </c>
      <c r="AB33" s="34">
        <f>' Übersicht Umsätze '!Z33</f>
        <v>884.21</v>
      </c>
      <c r="AC33" s="34">
        <f>' Übersicht Umsätze '!AA33</f>
        <v>1282.42</v>
      </c>
      <c r="AD33" s="99">
        <f t="shared" si="7"/>
        <v>22417.870000000003</v>
      </c>
      <c r="AE33" s="34">
        <f>' Übersicht Umsätze '!AB33</f>
        <v>106.18</v>
      </c>
      <c r="AF33" s="34">
        <f>' Übersicht Umsätze '!AC33</f>
        <v>118.56</v>
      </c>
      <c r="AG33" s="34">
        <f>' Übersicht Umsätze '!AE33</f>
        <v>119.52</v>
      </c>
      <c r="AH33" s="34">
        <f>' Übersicht Umsätze '!AF33</f>
        <v>46.5</v>
      </c>
      <c r="AI33" s="34">
        <f>' Übersicht Umsätze '!AG33</f>
        <v>9.17</v>
      </c>
      <c r="AJ33" s="34">
        <f>' Übersicht Umsätze '!AH33</f>
        <v>8.1999999999999993</v>
      </c>
      <c r="AK33" s="34">
        <f>' Übersicht Umsätze '!AI33</f>
        <v>10.66</v>
      </c>
      <c r="AL33" s="34">
        <f>' Übersicht Umsätze '!AJ33</f>
        <v>8.7100000000000009</v>
      </c>
      <c r="AM33" s="34">
        <f>' Übersicht Umsätze '!AK33</f>
        <v>4.8499999999999996</v>
      </c>
      <c r="AN33" s="34">
        <f>' Übersicht Umsätze '!AL33</f>
        <v>5.03</v>
      </c>
      <c r="AO33" s="34">
        <f>' Übersicht Umsätze '!AM33</f>
        <v>0</v>
      </c>
      <c r="AP33" s="34">
        <f>' Übersicht Umsätze '!AN33</f>
        <v>0</v>
      </c>
      <c r="AQ33" s="99">
        <f t="shared" si="8"/>
        <v>437.38</v>
      </c>
    </row>
    <row r="34" spans="1:43">
      <c r="A34" s="35"/>
      <c r="B34" s="37" t="s">
        <v>45</v>
      </c>
      <c r="C34" s="58" t="s">
        <v>109</v>
      </c>
      <c r="D34" s="33" t="s">
        <v>40</v>
      </c>
      <c r="E34" s="34"/>
      <c r="F34" s="34"/>
      <c r="G34" s="34"/>
      <c r="H34" s="34"/>
      <c r="I34" s="34"/>
      <c r="J34" s="34"/>
      <c r="K34" s="34"/>
      <c r="L34" s="34">
        <f>' Übersicht Umsätze '!J34</f>
        <v>94.86</v>
      </c>
      <c r="M34" s="34">
        <f>' Übersicht Umsätze '!K34</f>
        <v>195</v>
      </c>
      <c r="N34" s="34">
        <f>' Übersicht Umsätze '!L34</f>
        <v>98.93</v>
      </c>
      <c r="O34" s="34">
        <f>' Übersicht Umsätze '!M34</f>
        <v>219.57</v>
      </c>
      <c r="P34" s="34">
        <f>' Übersicht Umsätze '!N34</f>
        <v>210</v>
      </c>
      <c r="Q34" s="99">
        <f t="shared" si="6"/>
        <v>818.36</v>
      </c>
      <c r="R34" s="34">
        <f>' Übersicht Umsätze '!O34</f>
        <v>230.06</v>
      </c>
      <c r="S34" s="34">
        <f>' Übersicht Umsätze '!P34</f>
        <v>367.79</v>
      </c>
      <c r="T34" s="34">
        <f>' Übersicht Umsätze '!R34</f>
        <v>131.33000000000001</v>
      </c>
      <c r="U34" s="34">
        <f>' Übersicht Umsätze '!S34</f>
        <v>74.09</v>
      </c>
      <c r="V34" s="34">
        <f>' Übersicht Umsätze '!T34</f>
        <v>90.37</v>
      </c>
      <c r="W34" s="34">
        <f>' Übersicht Umsätze '!U34</f>
        <v>38.44</v>
      </c>
      <c r="X34" s="34">
        <f>' Übersicht Umsätze '!V34</f>
        <v>53.59</v>
      </c>
      <c r="Y34" s="34">
        <f>' Übersicht Umsätze '!W34</f>
        <v>117.52</v>
      </c>
      <c r="Z34" s="34">
        <f>' Übersicht Umsätze '!X34</f>
        <v>120.91</v>
      </c>
      <c r="AA34" s="34">
        <f>' Übersicht Umsätze '!Y34</f>
        <v>237.29</v>
      </c>
      <c r="AB34" s="34">
        <f>' Übersicht Umsätze '!Z34</f>
        <v>71.78</v>
      </c>
      <c r="AC34" s="34">
        <f>' Übersicht Umsätze '!AA34</f>
        <v>45.59</v>
      </c>
      <c r="AD34" s="99">
        <f t="shared" si="7"/>
        <v>1578.7600000000002</v>
      </c>
      <c r="AE34" s="34">
        <f>' Übersicht Umsätze '!AB34</f>
        <v>74.12</v>
      </c>
      <c r="AF34" s="34">
        <f>' Übersicht Umsätze '!AC34</f>
        <v>41.13</v>
      </c>
      <c r="AG34" s="34">
        <f>' Übersicht Umsätze '!AE34</f>
        <v>0.77</v>
      </c>
      <c r="AH34" s="34">
        <f>' Übersicht Umsätze '!AF34</f>
        <v>0</v>
      </c>
      <c r="AI34" s="34">
        <f>' Übersicht Umsätze '!AG34</f>
        <v>0.65</v>
      </c>
      <c r="AJ34" s="34">
        <f>' Übersicht Umsätze '!AH34</f>
        <v>0.7</v>
      </c>
      <c r="AK34" s="34">
        <f>' Übersicht Umsätze '!AI34</f>
        <v>1.04</v>
      </c>
      <c r="AL34" s="34">
        <f>' Übersicht Umsätze '!AJ34</f>
        <v>0.84</v>
      </c>
      <c r="AM34" s="34">
        <f>' Übersicht Umsätze '!AK34</f>
        <v>0.59</v>
      </c>
      <c r="AN34" s="34">
        <f>' Übersicht Umsätze '!AL34</f>
        <v>0.52</v>
      </c>
      <c r="AO34" s="34">
        <f>' Übersicht Umsätze '!AM34</f>
        <v>0</v>
      </c>
      <c r="AP34" s="34">
        <f>' Übersicht Umsätze '!AN34</f>
        <v>0</v>
      </c>
      <c r="AQ34" s="99">
        <f t="shared" si="8"/>
        <v>120.36000000000001</v>
      </c>
    </row>
    <row r="35" spans="1:43">
      <c r="A35" s="35"/>
      <c r="B35" s="67" t="s">
        <v>111</v>
      </c>
      <c r="C35" s="65" t="s">
        <v>108</v>
      </c>
      <c r="D35" s="86" t="s">
        <v>39</v>
      </c>
      <c r="E35" s="87"/>
      <c r="F35" s="87"/>
      <c r="G35" s="87"/>
      <c r="H35" s="87"/>
      <c r="I35" s="87"/>
      <c r="J35" s="87"/>
      <c r="K35" s="87"/>
      <c r="L35" s="87"/>
      <c r="M35" s="87">
        <f>' Übersicht Umsätze '!K35</f>
        <v>2698.1663071190424</v>
      </c>
      <c r="N35" s="87">
        <f>' Übersicht Umsätze '!L35</f>
        <v>3321.5721393034828</v>
      </c>
      <c r="O35" s="87">
        <f>' Übersicht Umsätze '!M35</f>
        <v>2647.0204081632651</v>
      </c>
      <c r="P35" s="87">
        <f>' Übersicht Umsätze '!N35</f>
        <v>5537.3279352226718</v>
      </c>
      <c r="Q35" s="98">
        <f t="shared" si="6"/>
        <v>14204.086789808462</v>
      </c>
      <c r="R35" s="87">
        <f>' Übersicht Umsätze '!O35</f>
        <v>5964.236311239194</v>
      </c>
      <c r="S35" s="87">
        <f>' Übersicht Umsätze '!P35</f>
        <v>5985.6716417910447</v>
      </c>
      <c r="T35" s="87">
        <f>' Übersicht Umsätze '!R35</f>
        <v>1384.0111940298507</v>
      </c>
      <c r="U35" s="87">
        <f>' Übersicht Umsätze '!S35</f>
        <v>792.19216417910445</v>
      </c>
      <c r="V35" s="87">
        <f>' Übersicht Umsätze '!T35</f>
        <v>993.49813432835811</v>
      </c>
      <c r="W35" s="87">
        <f>' Übersicht Umsätze '!U35</f>
        <v>795.26119402985069</v>
      </c>
      <c r="X35" s="87">
        <f>' Übersicht Umsätze '!V35</f>
        <v>2546.7257462686566</v>
      </c>
      <c r="Y35" s="87">
        <f>' Übersicht Umsätze '!W35</f>
        <v>2061.7817164179105</v>
      </c>
      <c r="Z35" s="87">
        <f>' Übersicht Umsätze '!X35</f>
        <v>1490.4291044776119</v>
      </c>
      <c r="AA35" s="87">
        <f>' Übersicht Umsätze '!Y35</f>
        <v>211.49253731343282</v>
      </c>
      <c r="AB35" s="87">
        <f>' Übersicht Umsätze '!Z35</f>
        <v>1184.9720149253731</v>
      </c>
      <c r="AC35" s="87">
        <f>' Übersicht Umsätze '!AA35</f>
        <v>512.94776119402979</v>
      </c>
      <c r="AD35" s="98">
        <f t="shared" si="7"/>
        <v>23923.219520194416</v>
      </c>
      <c r="AE35" s="87">
        <f>' Übersicht Umsätze '!AB35</f>
        <v>283.59141791044772</v>
      </c>
      <c r="AF35" s="87">
        <f>' Übersicht Umsätze '!AC35</f>
        <v>485.13992537313436</v>
      </c>
      <c r="AG35" s="87">
        <f>' Übersicht Umsätze '!AE35</f>
        <v>248.82462686567163</v>
      </c>
      <c r="AH35" s="87">
        <f>' Übersicht Umsätze '!AF35</f>
        <v>238.54477611940297</v>
      </c>
      <c r="AI35" s="87">
        <f>' Übersicht Umsätze '!AG35</f>
        <v>566.30597014925365</v>
      </c>
      <c r="AJ35" s="87">
        <f>' Übersicht Umsätze '!AH35</f>
        <v>343.11567164179104</v>
      </c>
      <c r="AK35" s="87">
        <f>' Übersicht Umsätze '!AI35</f>
        <v>653.77798507462683</v>
      </c>
      <c r="AL35" s="87">
        <f>' Übersicht Umsätze '!AJ35</f>
        <v>0</v>
      </c>
      <c r="AM35" s="87">
        <f>' Übersicht Umsätze '!AK35</f>
        <v>0</v>
      </c>
      <c r="AN35" s="87">
        <f>' Übersicht Umsätze '!AL35</f>
        <v>0</v>
      </c>
      <c r="AO35" s="87">
        <f>' Übersicht Umsätze '!AM35</f>
        <v>0</v>
      </c>
      <c r="AP35" s="87">
        <f>' Übersicht Umsätze '!AN35</f>
        <v>0</v>
      </c>
      <c r="AQ35" s="98">
        <f t="shared" si="8"/>
        <v>2819.3003731343283</v>
      </c>
    </row>
    <row r="36" spans="1:43">
      <c r="A36" s="35"/>
      <c r="B36" s="67" t="s">
        <v>112</v>
      </c>
      <c r="C36" s="65" t="s">
        <v>15</v>
      </c>
      <c r="D36" s="86" t="s">
        <v>39</v>
      </c>
      <c r="E36" s="87"/>
      <c r="F36" s="87"/>
      <c r="G36" s="87"/>
      <c r="H36" s="87"/>
      <c r="I36" s="87"/>
      <c r="J36" s="87"/>
      <c r="K36" s="87"/>
      <c r="L36" s="87"/>
      <c r="M36" s="87">
        <f>' Übersicht Umsätze '!K36</f>
        <v>0</v>
      </c>
      <c r="N36" s="87">
        <f>' Übersicht Umsätze '!L36</f>
        <v>0</v>
      </c>
      <c r="O36" s="87">
        <f>' Übersicht Umsätze '!M36</f>
        <v>1.6122448979591837</v>
      </c>
      <c r="P36" s="87">
        <f>' Übersicht Umsätze '!N36</f>
        <v>3.0263157894736845</v>
      </c>
      <c r="Q36" s="98">
        <f t="shared" si="6"/>
        <v>4.638560687432868</v>
      </c>
      <c r="R36" s="87">
        <f>' Übersicht Umsätze '!O36</f>
        <v>50.086455331412111</v>
      </c>
      <c r="S36" s="87">
        <f>' Übersicht Umsätze '!P36</f>
        <v>687.68656716417911</v>
      </c>
      <c r="T36" s="87">
        <f>' Übersicht Umsätze '!R36</f>
        <v>879.30970149253722</v>
      </c>
      <c r="U36" s="87">
        <f>' Übersicht Umsätze '!S36</f>
        <v>305.95149253731341</v>
      </c>
      <c r="V36" s="87">
        <f>' Übersicht Umsätze '!T36</f>
        <v>210.73694029850745</v>
      </c>
      <c r="W36" s="87">
        <f>' Übersicht Umsätze '!U36</f>
        <v>457.0988805970149</v>
      </c>
      <c r="X36" s="87">
        <f>' Übersicht Umsätze '!V36</f>
        <v>975.78358208955217</v>
      </c>
      <c r="Y36" s="87">
        <f>' Übersicht Umsätze '!W36</f>
        <v>667.17350746268653</v>
      </c>
      <c r="Z36" s="87">
        <f>' Übersicht Umsätze '!X36</f>
        <v>359.57089552238801</v>
      </c>
      <c r="AA36" s="87">
        <f>' Übersicht Umsätze '!Y36</f>
        <v>262.43470149253727</v>
      </c>
      <c r="AB36" s="87">
        <f>' Übersicht Umsätze '!Z36</f>
        <v>266.45522388059698</v>
      </c>
      <c r="AC36" s="87">
        <f>' Übersicht Umsätze '!AA36</f>
        <v>188.75</v>
      </c>
      <c r="AD36" s="98">
        <f t="shared" si="7"/>
        <v>5311.0379478687255</v>
      </c>
      <c r="AE36" s="87">
        <f>' Übersicht Umsätze '!AB36</f>
        <v>333.65391791044777</v>
      </c>
      <c r="AF36" s="87">
        <f>' Übersicht Umsätze '!AC36</f>
        <v>327.36007462686564</v>
      </c>
      <c r="AG36" s="87">
        <f>' Übersicht Umsätze '!AE36</f>
        <v>169.37499999999997</v>
      </c>
      <c r="AH36" s="87">
        <f>' Übersicht Umsätze '!AF36</f>
        <v>263.14365671641787</v>
      </c>
      <c r="AI36" s="87">
        <f>' Übersicht Umsätze '!AG36</f>
        <v>257.5</v>
      </c>
      <c r="AJ36" s="87">
        <f>' Übersicht Umsätze '!AH36</f>
        <v>257.20149253731347</v>
      </c>
      <c r="AK36" s="87">
        <f>' Übersicht Umsätze '!AI36</f>
        <v>100.74626865671641</v>
      </c>
      <c r="AL36" s="87">
        <f>' Übersicht Umsätze '!AJ36</f>
        <v>0</v>
      </c>
      <c r="AM36" s="87">
        <f>' Übersicht Umsätze '!AK36</f>
        <v>0</v>
      </c>
      <c r="AN36" s="87">
        <f>' Übersicht Umsätze '!AL36</f>
        <v>0</v>
      </c>
      <c r="AO36" s="87">
        <f>' Übersicht Umsätze '!AM36</f>
        <v>0</v>
      </c>
      <c r="AP36" s="87">
        <f>' Übersicht Umsätze '!AN36</f>
        <v>0</v>
      </c>
      <c r="AQ36" s="98">
        <f t="shared" si="8"/>
        <v>1708.9804104477612</v>
      </c>
    </row>
    <row r="37" spans="1:43">
      <c r="A37" s="35"/>
      <c r="B37" s="67" t="s">
        <v>112</v>
      </c>
      <c r="C37" s="65" t="s">
        <v>109</v>
      </c>
      <c r="D37" s="86" t="s">
        <v>39</v>
      </c>
      <c r="E37" s="87"/>
      <c r="F37" s="87"/>
      <c r="G37" s="87"/>
      <c r="H37" s="87"/>
      <c r="I37" s="87"/>
      <c r="J37" s="87"/>
      <c r="K37" s="87"/>
      <c r="L37" s="87"/>
      <c r="M37" s="87">
        <f>' Übersicht Umsätze '!K37</f>
        <v>0</v>
      </c>
      <c r="N37" s="87">
        <f>' Übersicht Umsätze '!L37</f>
        <v>0</v>
      </c>
      <c r="O37" s="87">
        <f>' Übersicht Umsätze '!M37</f>
        <v>7.5510204081632661</v>
      </c>
      <c r="P37" s="87">
        <f>' Übersicht Umsätze '!N37</f>
        <v>32.823886639676111</v>
      </c>
      <c r="Q37" s="98">
        <f t="shared" si="6"/>
        <v>40.374907047839379</v>
      </c>
      <c r="R37" s="87">
        <f>' Übersicht Umsätze '!O37</f>
        <v>102.45917387127763</v>
      </c>
      <c r="S37" s="87">
        <f>' Übersicht Umsätze '!P37</f>
        <v>154.5149253731343</v>
      </c>
      <c r="T37" s="87">
        <f>' Übersicht Umsätze '!R37</f>
        <v>223.93656716417908</v>
      </c>
      <c r="U37" s="87">
        <f>' Übersicht Umsätze '!S37</f>
        <v>199.21641791044775</v>
      </c>
      <c r="V37" s="87">
        <f>' Übersicht Umsätze '!T37</f>
        <v>148.83395522388059</v>
      </c>
      <c r="W37" s="87">
        <f>' Übersicht Umsätze '!U37</f>
        <v>448.19029850746261</v>
      </c>
      <c r="X37" s="87">
        <f>' Übersicht Umsätze '!V37</f>
        <v>335.55970149253733</v>
      </c>
      <c r="Y37" s="87">
        <f>' Übersicht Umsätze '!W37</f>
        <v>282.43470149253727</v>
      </c>
      <c r="Z37" s="87">
        <f>' Übersicht Umsätze '!X37</f>
        <v>179.27238805970148</v>
      </c>
      <c r="AA37" s="87">
        <f>' Übersicht Umsätze '!Y37</f>
        <v>421.64179104477608</v>
      </c>
      <c r="AB37" s="87">
        <f>' Übersicht Umsätze '!Z37</f>
        <v>522.70522388059703</v>
      </c>
      <c r="AC37" s="87">
        <f>' Übersicht Umsätze '!AA37</f>
        <v>94.701492537313428</v>
      </c>
      <c r="AD37" s="98">
        <f t="shared" si="7"/>
        <v>3113.466636557845</v>
      </c>
      <c r="AE37" s="87">
        <f>' Übersicht Umsätze '!AB37</f>
        <v>231.31529850746267</v>
      </c>
      <c r="AF37" s="87">
        <f>' Übersicht Umsätze '!AC37</f>
        <v>34.682835820895519</v>
      </c>
      <c r="AG37" s="87">
        <f>' Übersicht Umsätze '!AE37</f>
        <v>1.3059701492537312</v>
      </c>
      <c r="AH37" s="87">
        <f>' Übersicht Umsätze '!AF37</f>
        <v>0.54104477611940294</v>
      </c>
      <c r="AI37" s="87">
        <f>' Übersicht Umsätze '!AG37</f>
        <v>0.5503731343283581</v>
      </c>
      <c r="AJ37" s="87">
        <f>' Übersicht Umsätze '!AH37</f>
        <v>0.89552238805970141</v>
      </c>
      <c r="AK37" s="87">
        <f>' Übersicht Umsätze '!AI37</f>
        <v>1.4925373134328359</v>
      </c>
      <c r="AL37" s="87">
        <f>' Übersicht Umsätze '!AJ37</f>
        <v>0</v>
      </c>
      <c r="AM37" s="87">
        <f>' Übersicht Umsätze '!AK37</f>
        <v>0</v>
      </c>
      <c r="AN37" s="87">
        <f>' Übersicht Umsätze '!AL37</f>
        <v>0</v>
      </c>
      <c r="AO37" s="87">
        <f>' Übersicht Umsätze '!AM37</f>
        <v>0</v>
      </c>
      <c r="AP37" s="87">
        <f>' Übersicht Umsätze '!AN37</f>
        <v>0</v>
      </c>
      <c r="AQ37" s="98">
        <f t="shared" si="8"/>
        <v>270.78358208955223</v>
      </c>
    </row>
    <row r="38" spans="1:43">
      <c r="A38" s="35"/>
      <c r="B38" s="33" t="s">
        <v>37</v>
      </c>
      <c r="C38" s="58" t="s">
        <v>108</v>
      </c>
      <c r="D38" s="33" t="s">
        <v>40</v>
      </c>
      <c r="E38" s="34"/>
      <c r="F38" s="34"/>
      <c r="G38" s="34">
        <f>' Übersicht Umsätze '!E38</f>
        <v>2750</v>
      </c>
      <c r="H38" s="34">
        <f>' Übersicht Umsätze '!F38</f>
        <v>5505</v>
      </c>
      <c r="I38" s="34">
        <f>' Übersicht Umsätze '!G38</f>
        <v>6200</v>
      </c>
      <c r="J38" s="34">
        <f>' Übersicht Umsätze '!H38</f>
        <v>7438</v>
      </c>
      <c r="K38" s="34">
        <f>' Übersicht Umsätze '!I38</f>
        <v>9263</v>
      </c>
      <c r="L38" s="34">
        <f>' Übersicht Umsätze '!J38</f>
        <v>7761</v>
      </c>
      <c r="M38" s="34">
        <f>' Übersicht Umsätze '!K38</f>
        <v>8165</v>
      </c>
      <c r="N38" s="34">
        <f>' Übersicht Umsätze '!L38</f>
        <v>6202</v>
      </c>
      <c r="O38" s="34">
        <f>' Übersicht Umsätze '!M38</f>
        <v>12360</v>
      </c>
      <c r="P38" s="34">
        <f>' Übersicht Umsätze '!N38</f>
        <v>7150</v>
      </c>
      <c r="Q38" s="99">
        <f t="shared" si="6"/>
        <v>72794</v>
      </c>
      <c r="R38" s="34">
        <f>' Übersicht Umsätze '!O38</f>
        <v>8137.15</v>
      </c>
      <c r="S38" s="34">
        <f>' Übersicht Umsätze '!P38</f>
        <v>7018.41</v>
      </c>
      <c r="T38" s="34">
        <f>' Übersicht Umsätze '!R38</f>
        <v>5935.02</v>
      </c>
      <c r="U38" s="34">
        <f>' Übersicht Umsätze '!S38</f>
        <v>5475</v>
      </c>
      <c r="V38" s="34">
        <f>' Übersicht Umsätze '!T38</f>
        <v>8507.91</v>
      </c>
      <c r="W38" s="34">
        <f>' Übersicht Umsätze '!U38</f>
        <v>7548</v>
      </c>
      <c r="X38" s="34">
        <f>' Übersicht Umsätze '!V38</f>
        <v>8068.25</v>
      </c>
      <c r="Y38" s="34">
        <f>' Übersicht Umsätze '!W38</f>
        <v>5404.35</v>
      </c>
      <c r="Z38" s="34">
        <f>' Übersicht Umsätze '!X38</f>
        <v>3706</v>
      </c>
      <c r="AA38" s="34">
        <f>' Übersicht Umsätze '!Y38</f>
        <v>4353.5</v>
      </c>
      <c r="AB38" s="34">
        <f>' Übersicht Umsätze '!Z38</f>
        <v>3712.97</v>
      </c>
      <c r="AC38" s="34">
        <f>' Übersicht Umsätze '!AA38</f>
        <v>4720.3500000000004</v>
      </c>
      <c r="AD38" s="99">
        <f t="shared" si="7"/>
        <v>72586.91</v>
      </c>
      <c r="AE38" s="34">
        <f>' Übersicht Umsätze '!AB38</f>
        <v>6392.05</v>
      </c>
      <c r="AF38" s="34">
        <f>' Übersicht Umsätze '!AC38</f>
        <v>3865.98</v>
      </c>
      <c r="AG38" s="34">
        <f>' Übersicht Umsätze '!AE38</f>
        <v>4211</v>
      </c>
      <c r="AH38" s="34">
        <f>' Übersicht Umsätze '!AF38</f>
        <v>3760</v>
      </c>
      <c r="AI38" s="34">
        <f>' Übersicht Umsätze '!AG38</f>
        <v>4212</v>
      </c>
      <c r="AJ38" s="34">
        <f>' Übersicht Umsätze '!AH38</f>
        <v>3505</v>
      </c>
      <c r="AK38" s="34">
        <f>' Übersicht Umsätze '!AI38</f>
        <v>3234</v>
      </c>
      <c r="AL38" s="34">
        <f>' Übersicht Umsätze '!AJ38</f>
        <v>0</v>
      </c>
      <c r="AM38" s="34">
        <f>' Übersicht Umsätze '!AK38</f>
        <v>0</v>
      </c>
      <c r="AN38" s="34">
        <f>' Übersicht Umsätze '!AL38</f>
        <v>0</v>
      </c>
      <c r="AO38" s="34">
        <f>' Übersicht Umsätze '!AM38</f>
        <v>0</v>
      </c>
      <c r="AP38" s="34">
        <f>' Übersicht Umsätze '!AN38</f>
        <v>0</v>
      </c>
      <c r="AQ38" s="99">
        <f t="shared" si="8"/>
        <v>29180.03</v>
      </c>
    </row>
    <row r="39" spans="1:43">
      <c r="A39" s="35"/>
      <c r="B39" s="33" t="s">
        <v>37</v>
      </c>
      <c r="C39" s="58" t="s">
        <v>15</v>
      </c>
      <c r="D39" s="33" t="s">
        <v>40</v>
      </c>
      <c r="E39" s="34"/>
      <c r="F39" s="34"/>
      <c r="G39" s="34"/>
      <c r="H39" s="34"/>
      <c r="I39" s="34"/>
      <c r="J39" s="34"/>
      <c r="K39" s="34"/>
      <c r="L39" s="34"/>
      <c r="M39" s="34">
        <f>' Übersicht Umsätze '!L39</f>
        <v>138.37</v>
      </c>
      <c r="N39" s="34">
        <f>' Übersicht Umsätze '!M39</f>
        <v>300</v>
      </c>
      <c r="O39" s="34">
        <f>' Übersicht Umsätze '!N39</f>
        <v>290</v>
      </c>
      <c r="P39" s="34">
        <f>' Übersicht Umsätze '!O39</f>
        <v>297</v>
      </c>
      <c r="Q39" s="99">
        <f t="shared" si="6"/>
        <v>1025.3699999999999</v>
      </c>
      <c r="R39" s="34">
        <f>' Übersicht Umsätze '!P39</f>
        <v>114.57</v>
      </c>
      <c r="S39" s="34">
        <f>' Übersicht Umsätze '!R39</f>
        <v>103.91</v>
      </c>
      <c r="T39" s="34">
        <f>' Übersicht Umsätze '!S39</f>
        <v>70.95</v>
      </c>
      <c r="U39" s="34">
        <f>' Übersicht Umsätze '!T39</f>
        <v>320</v>
      </c>
      <c r="V39" s="34">
        <f>' Übersicht Umsätze '!U39</f>
        <v>100</v>
      </c>
      <c r="W39" s="34">
        <f>' Übersicht Umsätze '!V39</f>
        <v>100</v>
      </c>
      <c r="X39" s="34">
        <f>' Übersicht Umsätze '!W39</f>
        <v>100</v>
      </c>
      <c r="Y39" s="34">
        <f>' Übersicht Umsätze '!X39</f>
        <v>80</v>
      </c>
      <c r="Z39" s="34">
        <f>' Übersicht Umsätze '!Y39</f>
        <v>100</v>
      </c>
      <c r="AA39" s="34">
        <f>' Übersicht Umsätze '!Z39</f>
        <v>80</v>
      </c>
      <c r="AB39" s="34">
        <f>' Übersicht Umsätze '!AA39</f>
        <v>65</v>
      </c>
      <c r="AC39" s="34">
        <f>' Übersicht Umsätze '!AB39</f>
        <v>115</v>
      </c>
      <c r="AD39" s="99">
        <f t="shared" si="7"/>
        <v>1349.43</v>
      </c>
      <c r="AE39" s="34">
        <f>' Übersicht Umsätze '!AC39</f>
        <v>70</v>
      </c>
      <c r="AF39" s="34">
        <f>' Übersicht Umsätze '!AE39</f>
        <v>65</v>
      </c>
      <c r="AG39" s="34">
        <f>' Übersicht Umsätze '!AF39</f>
        <v>20</v>
      </c>
      <c r="AH39" s="34">
        <f>' Übersicht Umsätze '!AG39</f>
        <v>0</v>
      </c>
      <c r="AI39" s="34">
        <f>' Übersicht Umsätze '!AH39</f>
        <v>0</v>
      </c>
      <c r="AJ39" s="34">
        <f>' Übersicht Umsätze '!AI39</f>
        <v>0</v>
      </c>
      <c r="AK39" s="34">
        <f>' Übersicht Umsätze '!AJ39</f>
        <v>0</v>
      </c>
      <c r="AL39" s="34">
        <f>' Übersicht Umsätze '!AK39</f>
        <v>0</v>
      </c>
      <c r="AM39" s="34">
        <f>' Übersicht Umsätze '!AL39</f>
        <v>0</v>
      </c>
      <c r="AN39" s="34">
        <f>' Übersicht Umsätze '!AM39</f>
        <v>0</v>
      </c>
      <c r="AO39" s="34">
        <f>' Übersicht Umsätze '!AN39</f>
        <v>0</v>
      </c>
      <c r="AP39" s="34">
        <f>' Übersicht Umsätze '!AO39</f>
        <v>0</v>
      </c>
      <c r="AQ39" s="99">
        <f t="shared" si="8"/>
        <v>155</v>
      </c>
    </row>
    <row r="40" spans="1:43">
      <c r="A40" s="35"/>
      <c r="B40" s="33" t="s">
        <v>37</v>
      </c>
      <c r="C40" s="59" t="s">
        <v>109</v>
      </c>
      <c r="D40" s="33" t="s">
        <v>40</v>
      </c>
      <c r="E40" s="34"/>
      <c r="F40" s="34"/>
      <c r="G40" s="34"/>
      <c r="H40" s="34"/>
      <c r="I40" s="34"/>
      <c r="J40" s="34"/>
      <c r="K40" s="34"/>
      <c r="L40" s="34"/>
      <c r="M40" s="34">
        <f>' Übersicht Umsätze '!L40</f>
        <v>14.17</v>
      </c>
      <c r="N40" s="34">
        <f>' Übersicht Umsätze '!M40</f>
        <v>100</v>
      </c>
      <c r="O40" s="34">
        <f>' Übersicht Umsätze '!N40</f>
        <v>95</v>
      </c>
      <c r="P40" s="34">
        <f>' Übersicht Umsätze '!O40</f>
        <v>61</v>
      </c>
      <c r="Q40" s="99">
        <f t="shared" si="6"/>
        <v>270.17</v>
      </c>
      <c r="R40" s="34">
        <f>' Übersicht Umsätze '!P40</f>
        <v>77.53</v>
      </c>
      <c r="S40" s="34">
        <f>' Übersicht Umsätze '!R40</f>
        <v>54.26</v>
      </c>
      <c r="T40" s="34">
        <f>' Übersicht Umsätze '!S40</f>
        <v>73</v>
      </c>
      <c r="U40" s="34">
        <f>' Übersicht Umsätze '!T40</f>
        <v>90</v>
      </c>
      <c r="V40" s="34">
        <f>' Übersicht Umsätze '!U40</f>
        <v>80</v>
      </c>
      <c r="W40" s="34">
        <f>' Übersicht Umsätze '!V40</f>
        <v>90</v>
      </c>
      <c r="X40" s="34">
        <f>' Übersicht Umsätze '!W40</f>
        <v>80</v>
      </c>
      <c r="Y40" s="34">
        <f>' Übersicht Umsätze '!X40</f>
        <v>80</v>
      </c>
      <c r="Z40" s="34">
        <f>' Übersicht Umsätze '!Y40</f>
        <v>75</v>
      </c>
      <c r="AA40" s="34">
        <f>' Übersicht Umsätze '!Z40</f>
        <v>100</v>
      </c>
      <c r="AB40" s="34">
        <f>' Übersicht Umsätze '!AA40</f>
        <v>70</v>
      </c>
      <c r="AC40" s="34">
        <f>' Übersicht Umsätze '!AB40</f>
        <v>80</v>
      </c>
      <c r="AD40" s="99">
        <f t="shared" si="7"/>
        <v>949.79</v>
      </c>
      <c r="AE40" s="34">
        <f>' Übersicht Umsätze '!AC40</f>
        <v>35</v>
      </c>
      <c r="AF40" s="34">
        <f>' Übersicht Umsätze '!AE40</f>
        <v>15</v>
      </c>
      <c r="AG40" s="34">
        <f>' Übersicht Umsätze '!AF40</f>
        <v>30</v>
      </c>
      <c r="AH40" s="34">
        <f>' Übersicht Umsätze '!AG40</f>
        <v>7</v>
      </c>
      <c r="AI40" s="34">
        <f>' Übersicht Umsätze '!AH40</f>
        <v>28</v>
      </c>
      <c r="AJ40" s="34">
        <f>' Übersicht Umsätze '!AI40</f>
        <v>34</v>
      </c>
      <c r="AK40" s="34">
        <f>' Übersicht Umsätze '!AJ40</f>
        <v>0</v>
      </c>
      <c r="AL40" s="34">
        <f>' Übersicht Umsätze '!AK40</f>
        <v>0</v>
      </c>
      <c r="AM40" s="34">
        <f>' Übersicht Umsätze '!AL40</f>
        <v>0</v>
      </c>
      <c r="AN40" s="34">
        <f>' Übersicht Umsätze '!AM40</f>
        <v>0</v>
      </c>
      <c r="AO40" s="34">
        <f>' Übersicht Umsätze '!AN40</f>
        <v>0</v>
      </c>
      <c r="AP40" s="34">
        <f>' Übersicht Umsätze '!AO40</f>
        <v>0</v>
      </c>
      <c r="AQ40" s="99">
        <f t="shared" si="8"/>
        <v>149</v>
      </c>
    </row>
    <row r="41" spans="1:43">
      <c r="A41" s="35"/>
      <c r="B41" s="71"/>
      <c r="C41" s="70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0"/>
    </row>
  </sheetData>
  <autoFilter ref="C8:R8" xr:uid="{EA9D5966-AD0B-4C8D-9BDF-5CA851183B06}"/>
  <mergeCells count="1">
    <mergeCell ref="B3:B5"/>
  </mergeCells>
  <conditionalFormatting sqref="B8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1:Q41">
    <cfRule type="cellIs" dxfId="23" priority="155" stopIfTrue="1" operator="equal">
      <formula>0</formula>
    </cfRule>
  </conditionalFormatting>
  <conditionalFormatting sqref="E9:AQ40">
    <cfRule type="cellIs" dxfId="22" priority="1" stopIfTrue="1" operator="equal">
      <formula>0</formula>
    </cfRule>
  </conditionalFormatting>
  <conditionalFormatting sqref="L22">
    <cfRule type="cellIs" dxfId="21" priority="121" stopIfTrue="1" operator="equal">
      <formula>0</formula>
    </cfRule>
  </conditionalFormatting>
  <conditionalFormatting sqref="L9:P11">
    <cfRule type="cellIs" dxfId="20" priority="145" stopIfTrue="1" operator="equal">
      <formula>0</formula>
    </cfRule>
  </conditionalFormatting>
  <conditionalFormatting sqref="L23:P25">
    <cfRule type="cellIs" dxfId="19" priority="136" stopIfTrue="1" operator="equal">
      <formula>0</formula>
    </cfRule>
  </conditionalFormatting>
  <conditionalFormatting sqref="Y23:AC25">
    <cfRule type="cellIs" dxfId="18" priority="100" stopIfTrue="1" operator="equal">
      <formula>0</formula>
    </cfRule>
  </conditionalFormatting>
  <conditionalFormatting sqref="AL23:AP25">
    <cfRule type="cellIs" dxfId="17" priority="2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E8D08-F69C-4F17-927E-9B1141E90D34}">
  <sheetPr>
    <tabColor theme="8" tint="-0.499984740745262"/>
    <outlinePr summaryBelow="0"/>
  </sheetPr>
  <dimension ref="A2:AN54"/>
  <sheetViews>
    <sheetView showGridLines="0" zoomScale="98" zoomScaleNormal="98" workbookViewId="0">
      <pane xSplit="1" ySplit="4" topLeftCell="AA11" activePane="bottomRight" state="frozen"/>
      <selection pane="topRight" activeCell="B1" sqref="B1"/>
      <selection pane="bottomLeft" activeCell="A5" sqref="A5"/>
      <selection pane="bottomRight" activeCell="AJ38" sqref="AJ38"/>
    </sheetView>
  </sheetViews>
  <sheetFormatPr baseColWidth="10" defaultRowHeight="12.75" outlineLevelRow="2" outlineLevelCol="1"/>
  <cols>
    <col min="1" max="1" width="38.7109375" bestFit="1" customWidth="1"/>
    <col min="2" max="2" width="13.42578125" customWidth="1" outlineLevel="1"/>
    <col min="3" max="5" width="12.42578125" customWidth="1" outlineLevel="1"/>
    <col min="6" max="6" width="14.42578125" customWidth="1" outlineLevel="1"/>
    <col min="7" max="10" width="12.42578125" customWidth="1" outlineLevel="1"/>
    <col min="11" max="11" width="15" customWidth="1" outlineLevel="1"/>
    <col min="12" max="13" width="13.42578125" customWidth="1" outlineLevel="1"/>
    <col min="14" max="14" width="15.42578125" bestFit="1" customWidth="1"/>
    <col min="15" max="17" width="12.28515625" customWidth="1" outlineLevel="1"/>
    <col min="18" max="18" width="13.42578125" customWidth="1" outlineLevel="1"/>
    <col min="19" max="19" width="12.42578125" customWidth="1" outlineLevel="1"/>
    <col min="20" max="20" width="13.42578125" customWidth="1" outlineLevel="1"/>
    <col min="21" max="23" width="12.5703125" customWidth="1" outlineLevel="1"/>
    <col min="24" max="24" width="13.28515625" customWidth="1" outlineLevel="1"/>
    <col min="25" max="25" width="13.140625" customWidth="1" outlineLevel="1"/>
    <col min="26" max="26" width="11.85546875" customWidth="1" outlineLevel="1"/>
    <col min="27" max="27" width="13.42578125" bestFit="1" customWidth="1"/>
    <col min="28" max="33" width="12.5703125" bestFit="1" customWidth="1"/>
    <col min="34" max="34" width="13.7109375" bestFit="1" customWidth="1"/>
    <col min="40" max="40" width="12.140625" bestFit="1" customWidth="1"/>
  </cols>
  <sheetData>
    <row r="2" spans="1:40" ht="21" customHeight="1">
      <c r="A2" s="133" t="s">
        <v>159</v>
      </c>
    </row>
    <row r="3" spans="1:40" ht="21" customHeight="1"/>
    <row r="4" spans="1:40" ht="21">
      <c r="A4" s="132" t="s">
        <v>7</v>
      </c>
      <c r="B4" s="131">
        <v>44562</v>
      </c>
      <c r="C4" s="131">
        <v>44593</v>
      </c>
      <c r="D4" s="131">
        <v>44621</v>
      </c>
      <c r="E4" s="131">
        <v>44652</v>
      </c>
      <c r="F4" s="131">
        <v>44682</v>
      </c>
      <c r="G4" s="131">
        <v>44713</v>
      </c>
      <c r="H4" s="131">
        <v>44743</v>
      </c>
      <c r="I4" s="131">
        <v>44774</v>
      </c>
      <c r="J4" s="131">
        <v>44805</v>
      </c>
      <c r="K4" s="131">
        <v>44835</v>
      </c>
      <c r="L4" s="131">
        <v>44866</v>
      </c>
      <c r="M4" s="131">
        <v>44896</v>
      </c>
      <c r="N4" s="91">
        <v>2022</v>
      </c>
      <c r="O4" s="131">
        <v>44927</v>
      </c>
      <c r="P4" s="131">
        <v>44958</v>
      </c>
      <c r="Q4" s="131">
        <v>44986</v>
      </c>
      <c r="R4" s="131">
        <v>45017</v>
      </c>
      <c r="S4" s="131">
        <v>45047</v>
      </c>
      <c r="T4" s="131">
        <v>45078</v>
      </c>
      <c r="U4" s="131">
        <v>45108</v>
      </c>
      <c r="V4" s="131">
        <v>45139</v>
      </c>
      <c r="W4" s="131">
        <v>45170</v>
      </c>
      <c r="X4" s="131">
        <v>45200</v>
      </c>
      <c r="Y4" s="131">
        <v>45231</v>
      </c>
      <c r="Z4" s="131">
        <v>45261</v>
      </c>
      <c r="AA4" s="91">
        <v>2023</v>
      </c>
      <c r="AB4" s="131">
        <v>45292</v>
      </c>
      <c r="AC4" s="131">
        <v>45323</v>
      </c>
      <c r="AD4" s="131">
        <v>45352</v>
      </c>
      <c r="AE4" s="131">
        <v>45383</v>
      </c>
      <c r="AF4" s="131">
        <v>45413</v>
      </c>
      <c r="AG4" s="131">
        <v>45444</v>
      </c>
      <c r="AH4" s="131">
        <v>45474</v>
      </c>
      <c r="AI4" s="131">
        <v>45505</v>
      </c>
      <c r="AJ4" s="131">
        <v>45536</v>
      </c>
      <c r="AK4" s="131">
        <v>45566</v>
      </c>
      <c r="AL4" s="131">
        <v>45597</v>
      </c>
      <c r="AM4" s="131">
        <v>45627</v>
      </c>
      <c r="AN4" s="91">
        <v>2024</v>
      </c>
    </row>
    <row r="5" spans="1:40" collapsed="1">
      <c r="A5" s="64" t="s">
        <v>82</v>
      </c>
      <c r="B5" s="100">
        <f>B6+B7+B8+B9</f>
        <v>1230.3200000000002</v>
      </c>
      <c r="C5" s="100">
        <f t="shared" ref="C5:M5" si="0">C6+C7+C8+C9</f>
        <v>1036.3399999999999</v>
      </c>
      <c r="D5" s="100">
        <f t="shared" si="0"/>
        <v>1154</v>
      </c>
      <c r="E5" s="100">
        <f t="shared" si="0"/>
        <v>934.15</v>
      </c>
      <c r="F5" s="100">
        <f t="shared" si="0"/>
        <v>445.77</v>
      </c>
      <c r="G5" s="100">
        <f t="shared" si="0"/>
        <v>483.99</v>
      </c>
      <c r="H5" s="100">
        <f t="shared" si="0"/>
        <v>1016.19</v>
      </c>
      <c r="I5" s="100">
        <f t="shared" si="0"/>
        <v>1205.02</v>
      </c>
      <c r="J5" s="100">
        <f t="shared" si="0"/>
        <v>2063.5</v>
      </c>
      <c r="K5" s="100">
        <f t="shared" si="0"/>
        <v>7625</v>
      </c>
      <c r="L5" s="100">
        <f t="shared" si="0"/>
        <v>11289.550000000001</v>
      </c>
      <c r="M5" s="100">
        <f t="shared" si="0"/>
        <v>6338.619999999999</v>
      </c>
      <c r="N5" s="101">
        <f t="shared" ref="N5:N37" si="1">SUM(B5:M5)</f>
        <v>34822.449999999997</v>
      </c>
      <c r="O5" s="100">
        <f>O6+O7+O8+O9</f>
        <v>0</v>
      </c>
      <c r="P5" s="100">
        <f t="shared" ref="P5:Z5" si="2">P6+P7+P8+P9</f>
        <v>0</v>
      </c>
      <c r="Q5" s="100">
        <f t="shared" si="2"/>
        <v>0</v>
      </c>
      <c r="R5" s="100">
        <f t="shared" si="2"/>
        <v>0</v>
      </c>
      <c r="S5" s="100">
        <f t="shared" si="2"/>
        <v>0</v>
      </c>
      <c r="T5" s="100">
        <f t="shared" si="2"/>
        <v>0</v>
      </c>
      <c r="U5" s="100">
        <f t="shared" si="2"/>
        <v>0</v>
      </c>
      <c r="V5" s="100">
        <f t="shared" si="2"/>
        <v>0</v>
      </c>
      <c r="W5" s="100">
        <f t="shared" si="2"/>
        <v>0</v>
      </c>
      <c r="X5" s="100">
        <f t="shared" si="2"/>
        <v>0</v>
      </c>
      <c r="Y5" s="100">
        <f t="shared" si="2"/>
        <v>0</v>
      </c>
      <c r="Z5" s="100">
        <f t="shared" si="2"/>
        <v>0</v>
      </c>
      <c r="AA5" s="101">
        <f t="shared" ref="AA5:AA37" si="3">SUM(O5:Z5)</f>
        <v>0</v>
      </c>
      <c r="AB5" s="100">
        <f>AB6+AB7+AB8+AB9</f>
        <v>0</v>
      </c>
      <c r="AC5" s="100">
        <f t="shared" ref="AC5:AM5" si="4">AC6+AC7+AC8+AC9</f>
        <v>0</v>
      </c>
      <c r="AD5" s="100">
        <f t="shared" si="4"/>
        <v>0</v>
      </c>
      <c r="AE5" s="100">
        <f t="shared" si="4"/>
        <v>0</v>
      </c>
      <c r="AF5" s="100">
        <f t="shared" si="4"/>
        <v>0</v>
      </c>
      <c r="AG5" s="100">
        <f t="shared" si="4"/>
        <v>0</v>
      </c>
      <c r="AH5" s="100">
        <f t="shared" si="4"/>
        <v>0</v>
      </c>
      <c r="AI5" s="100">
        <f t="shared" si="4"/>
        <v>0</v>
      </c>
      <c r="AJ5" s="100">
        <f t="shared" si="4"/>
        <v>0</v>
      </c>
      <c r="AK5" s="100">
        <f t="shared" si="4"/>
        <v>0</v>
      </c>
      <c r="AL5" s="100">
        <f t="shared" si="4"/>
        <v>0</v>
      </c>
      <c r="AM5" s="100">
        <f t="shared" si="4"/>
        <v>0</v>
      </c>
      <c r="AN5" s="101">
        <f t="shared" ref="AN5:AN23" si="5">SUM(AB5:AM5)</f>
        <v>0</v>
      </c>
    </row>
    <row r="6" spans="1:40" hidden="1" outlineLevel="1">
      <c r="A6" s="38" t="s">
        <v>50</v>
      </c>
      <c r="B6" s="68">
        <v>1191.4100000000001</v>
      </c>
      <c r="C6" s="68">
        <v>1011.11</v>
      </c>
      <c r="D6" s="68">
        <v>1154</v>
      </c>
      <c r="E6" s="68">
        <v>915.88</v>
      </c>
      <c r="F6" s="68">
        <v>388.77</v>
      </c>
      <c r="G6" s="68">
        <v>332.99</v>
      </c>
      <c r="H6" s="68">
        <v>436.19</v>
      </c>
      <c r="I6" s="68">
        <v>495.02</v>
      </c>
      <c r="J6" s="68">
        <v>475.5</v>
      </c>
      <c r="K6" s="68">
        <v>454</v>
      </c>
      <c r="L6" s="68">
        <v>267.10000000000002</v>
      </c>
      <c r="M6" s="68">
        <v>292.27999999999997</v>
      </c>
      <c r="N6" s="102">
        <f t="shared" si="1"/>
        <v>7414.2499999999991</v>
      </c>
      <c r="O6" s="68"/>
      <c r="P6" s="69"/>
      <c r="Q6" s="69"/>
      <c r="R6" s="68"/>
      <c r="S6" s="68"/>
      <c r="T6" s="68"/>
      <c r="U6" s="68"/>
      <c r="V6" s="68"/>
      <c r="W6" s="68"/>
      <c r="X6" s="68"/>
      <c r="Y6" s="68"/>
      <c r="Z6" s="69"/>
      <c r="AA6" s="102">
        <f t="shared" si="3"/>
        <v>0</v>
      </c>
      <c r="AB6" s="68"/>
      <c r="AC6" s="69"/>
      <c r="AD6" s="69"/>
      <c r="AE6" s="68"/>
      <c r="AF6" s="68"/>
      <c r="AG6" s="68"/>
      <c r="AH6" s="68"/>
      <c r="AI6" s="68"/>
      <c r="AJ6" s="68"/>
      <c r="AK6" s="68"/>
      <c r="AL6" s="68"/>
      <c r="AM6" s="69"/>
      <c r="AN6" s="102">
        <f t="shared" si="5"/>
        <v>0</v>
      </c>
    </row>
    <row r="7" spans="1:40" hidden="1" outlineLevel="1">
      <c r="A7" s="38" t="s">
        <v>3</v>
      </c>
      <c r="B7" s="68"/>
      <c r="C7" s="68"/>
      <c r="D7" s="68"/>
      <c r="E7" s="68"/>
      <c r="F7" s="68"/>
      <c r="G7" s="68">
        <v>70</v>
      </c>
      <c r="H7" s="68">
        <v>18</v>
      </c>
      <c r="I7" s="68">
        <v>5</v>
      </c>
      <c r="J7" s="68">
        <v>8</v>
      </c>
      <c r="K7" s="68">
        <v>3</v>
      </c>
      <c r="L7" s="68">
        <v>2.77</v>
      </c>
      <c r="M7" s="68">
        <v>3.08</v>
      </c>
      <c r="N7" s="102">
        <f t="shared" si="1"/>
        <v>109.85</v>
      </c>
      <c r="O7" s="69"/>
      <c r="P7" s="69"/>
      <c r="Q7" s="69"/>
      <c r="R7" s="68"/>
      <c r="S7" s="68"/>
      <c r="T7" s="68"/>
      <c r="U7" s="68"/>
      <c r="V7" s="68"/>
      <c r="W7" s="68"/>
      <c r="X7" s="68"/>
      <c r="Y7" s="68"/>
      <c r="Z7" s="69"/>
      <c r="AA7" s="102">
        <f t="shared" si="3"/>
        <v>0</v>
      </c>
      <c r="AB7" s="69"/>
      <c r="AC7" s="69"/>
      <c r="AD7" s="69"/>
      <c r="AE7" s="68"/>
      <c r="AF7" s="68"/>
      <c r="AG7" s="68"/>
      <c r="AH7" s="68"/>
      <c r="AI7" s="68"/>
      <c r="AJ7" s="68"/>
      <c r="AK7" s="68"/>
      <c r="AL7" s="68"/>
      <c r="AM7" s="69"/>
      <c r="AN7" s="102">
        <f t="shared" si="5"/>
        <v>0</v>
      </c>
    </row>
    <row r="8" spans="1:40" hidden="1" outlineLevel="1">
      <c r="A8" s="38" t="s">
        <v>83</v>
      </c>
      <c r="B8" s="68">
        <v>38.909999999999997</v>
      </c>
      <c r="C8" s="68">
        <v>25.23</v>
      </c>
      <c r="D8" s="68"/>
      <c r="E8" s="68"/>
      <c r="F8" s="68">
        <v>53</v>
      </c>
      <c r="G8" s="68">
        <v>78</v>
      </c>
      <c r="H8" s="68">
        <v>560</v>
      </c>
      <c r="I8" s="68">
        <v>689</v>
      </c>
      <c r="J8" s="68">
        <v>1570</v>
      </c>
      <c r="K8" s="68">
        <v>7150</v>
      </c>
      <c r="L8" s="68">
        <v>10894.04</v>
      </c>
      <c r="M8" s="68">
        <v>6018.98</v>
      </c>
      <c r="N8" s="102">
        <f t="shared" si="1"/>
        <v>27077.16</v>
      </c>
      <c r="O8" s="69"/>
      <c r="P8" s="69"/>
      <c r="Q8" s="69"/>
      <c r="R8" s="68"/>
      <c r="S8" s="68"/>
      <c r="T8" s="68"/>
      <c r="U8" s="68"/>
      <c r="V8" s="68"/>
      <c r="W8" s="68"/>
      <c r="X8" s="68"/>
      <c r="Y8" s="68"/>
      <c r="Z8" s="69"/>
      <c r="AA8" s="102">
        <f t="shared" si="3"/>
        <v>0</v>
      </c>
      <c r="AB8" s="69"/>
      <c r="AC8" s="69"/>
      <c r="AD8" s="69"/>
      <c r="AE8" s="68"/>
      <c r="AF8" s="68"/>
      <c r="AG8" s="68"/>
      <c r="AH8" s="68"/>
      <c r="AI8" s="68"/>
      <c r="AJ8" s="68"/>
      <c r="AK8" s="68"/>
      <c r="AL8" s="68"/>
      <c r="AM8" s="69"/>
      <c r="AN8" s="102">
        <f t="shared" si="5"/>
        <v>0</v>
      </c>
    </row>
    <row r="9" spans="1:40" hidden="1" outlineLevel="1">
      <c r="A9" s="38" t="s">
        <v>84</v>
      </c>
      <c r="B9" s="68"/>
      <c r="C9" s="68"/>
      <c r="D9" s="68"/>
      <c r="E9" s="68">
        <v>18.27</v>
      </c>
      <c r="F9" s="68">
        <v>4</v>
      </c>
      <c r="G9" s="68">
        <v>3</v>
      </c>
      <c r="H9" s="68">
        <v>2</v>
      </c>
      <c r="I9" s="68">
        <v>16</v>
      </c>
      <c r="J9" s="68">
        <v>10</v>
      </c>
      <c r="K9" s="68">
        <v>18</v>
      </c>
      <c r="L9" s="68">
        <v>125.64</v>
      </c>
      <c r="M9" s="68">
        <v>24.28</v>
      </c>
      <c r="N9" s="102">
        <f t="shared" si="1"/>
        <v>221.19</v>
      </c>
      <c r="O9" s="69"/>
      <c r="P9" s="69"/>
      <c r="Q9" s="69"/>
      <c r="R9" s="68"/>
      <c r="S9" s="68"/>
      <c r="T9" s="68"/>
      <c r="U9" s="68"/>
      <c r="V9" s="68"/>
      <c r="W9" s="68"/>
      <c r="X9" s="68"/>
      <c r="Y9" s="68"/>
      <c r="Z9" s="69"/>
      <c r="AA9" s="102">
        <f t="shared" si="3"/>
        <v>0</v>
      </c>
      <c r="AB9" s="69"/>
      <c r="AC9" s="69"/>
      <c r="AD9" s="69"/>
      <c r="AE9" s="68"/>
      <c r="AF9" s="68"/>
      <c r="AG9" s="68"/>
      <c r="AH9" s="68"/>
      <c r="AI9" s="68"/>
      <c r="AJ9" s="68"/>
      <c r="AK9" s="68"/>
      <c r="AL9" s="68"/>
      <c r="AM9" s="69"/>
      <c r="AN9" s="102">
        <f t="shared" si="5"/>
        <v>0</v>
      </c>
    </row>
    <row r="10" spans="1:40">
      <c r="A10" s="39" t="s">
        <v>35</v>
      </c>
      <c r="B10" s="54">
        <v>10885.82</v>
      </c>
      <c r="C10" s="54">
        <v>16352.77</v>
      </c>
      <c r="D10" s="54">
        <v>17502.91</v>
      </c>
      <c r="E10" s="54">
        <f>148+11325</f>
        <v>11473</v>
      </c>
      <c r="F10" s="54">
        <f>11496+28</f>
        <v>11524</v>
      </c>
      <c r="G10" s="54">
        <v>13147</v>
      </c>
      <c r="H10" s="54">
        <v>15356.92</v>
      </c>
      <c r="I10" s="54">
        <v>12314.45</v>
      </c>
      <c r="J10" s="54">
        <v>18827.18</v>
      </c>
      <c r="K10" s="55">
        <v>19947.37</v>
      </c>
      <c r="L10" s="55">
        <v>20004.72</v>
      </c>
      <c r="M10" s="55">
        <v>17849.830000000002</v>
      </c>
      <c r="N10" s="103">
        <f t="shared" si="1"/>
        <v>185185.96999999997</v>
      </c>
      <c r="O10" s="54">
        <v>12115.19</v>
      </c>
      <c r="P10" s="54">
        <v>16838.419999999998</v>
      </c>
      <c r="Q10" s="54">
        <v>19526.7</v>
      </c>
      <c r="R10" s="54">
        <v>17460.259999999998</v>
      </c>
      <c r="S10" s="54">
        <v>16074.71</v>
      </c>
      <c r="T10" s="54">
        <v>12064.07</v>
      </c>
      <c r="U10" s="54">
        <v>10524.85</v>
      </c>
      <c r="V10" s="54">
        <v>8866.76</v>
      </c>
      <c r="W10" s="54">
        <f>8651.46+248.32</f>
        <v>8899.7799999999988</v>
      </c>
      <c r="X10" s="55">
        <v>8182.09</v>
      </c>
      <c r="Y10" s="55">
        <v>6416</v>
      </c>
      <c r="Z10" s="55">
        <f>5546.9+193.04</f>
        <v>5739.94</v>
      </c>
      <c r="AA10" s="103">
        <f t="shared" si="3"/>
        <v>142708.77000000002</v>
      </c>
      <c r="AB10" s="54">
        <v>3964</v>
      </c>
      <c r="AC10" s="54">
        <f>5331+216</f>
        <v>5547</v>
      </c>
      <c r="AD10" s="54">
        <f>4058</f>
        <v>4058</v>
      </c>
      <c r="AE10" s="54">
        <v>4111.53</v>
      </c>
      <c r="AF10" s="54">
        <v>3733.44</v>
      </c>
      <c r="AG10" s="54">
        <v>8225.74</v>
      </c>
      <c r="AH10" s="54">
        <v>6275.28</v>
      </c>
      <c r="AI10" s="54">
        <v>2904.67</v>
      </c>
      <c r="AJ10" s="54"/>
      <c r="AK10" s="55"/>
      <c r="AL10" s="55"/>
      <c r="AM10" s="55"/>
      <c r="AN10" s="103">
        <f t="shared" si="5"/>
        <v>38819.659999999996</v>
      </c>
    </row>
    <row r="11" spans="1:40" collapsed="1">
      <c r="A11" s="67" t="s">
        <v>85</v>
      </c>
      <c r="B11" s="66">
        <f>B12+B13+B14+B15</f>
        <v>0</v>
      </c>
      <c r="C11" s="66">
        <f t="shared" ref="C11:M11" si="6">C12+C13+C14+C15</f>
        <v>0</v>
      </c>
      <c r="D11" s="66">
        <f t="shared" si="6"/>
        <v>0</v>
      </c>
      <c r="E11" s="66">
        <f t="shared" si="6"/>
        <v>0</v>
      </c>
      <c r="F11" s="66">
        <f t="shared" si="6"/>
        <v>0</v>
      </c>
      <c r="G11" s="66">
        <f t="shared" si="6"/>
        <v>932.96999999999991</v>
      </c>
      <c r="H11" s="66">
        <f t="shared" si="6"/>
        <v>3356</v>
      </c>
      <c r="I11" s="66">
        <f t="shared" si="6"/>
        <v>4752</v>
      </c>
      <c r="J11" s="66">
        <f t="shared" si="6"/>
        <v>10419.759999999998</v>
      </c>
      <c r="K11" s="66">
        <f t="shared" si="6"/>
        <v>6302.15</v>
      </c>
      <c r="L11" s="66">
        <f t="shared" si="6"/>
        <v>5557.88</v>
      </c>
      <c r="M11" s="66">
        <f t="shared" si="6"/>
        <v>6389.71</v>
      </c>
      <c r="N11" s="104">
        <f t="shared" si="1"/>
        <v>37710.47</v>
      </c>
      <c r="O11" s="66">
        <f>O12+O13+O14+O15</f>
        <v>3848.72</v>
      </c>
      <c r="P11" s="66">
        <f t="shared" ref="P11:Z11" si="7">P12+P13+P14+P15</f>
        <v>2635.75</v>
      </c>
      <c r="Q11" s="66">
        <f t="shared" si="7"/>
        <v>2856.14</v>
      </c>
      <c r="R11" s="66">
        <f t="shared" si="7"/>
        <v>1503.3600000000001</v>
      </c>
      <c r="S11" s="66">
        <f t="shared" si="7"/>
        <v>2060.37</v>
      </c>
      <c r="T11" s="66">
        <f t="shared" si="7"/>
        <v>3153.79</v>
      </c>
      <c r="U11" s="66">
        <f t="shared" si="7"/>
        <v>2667.3499999999995</v>
      </c>
      <c r="V11" s="66">
        <f t="shared" si="7"/>
        <v>2705.73</v>
      </c>
      <c r="W11" s="66">
        <f t="shared" si="7"/>
        <v>1030.47</v>
      </c>
      <c r="X11" s="66">
        <f t="shared" si="7"/>
        <v>1369.23</v>
      </c>
      <c r="Y11" s="66">
        <f t="shared" si="7"/>
        <v>275.48</v>
      </c>
      <c r="Z11" s="66">
        <f t="shared" si="7"/>
        <v>247.6</v>
      </c>
      <c r="AA11" s="104">
        <f t="shared" si="3"/>
        <v>24353.989999999998</v>
      </c>
      <c r="AB11" s="66">
        <f>AB12+AB13+AB14+AB15</f>
        <v>180.85999999999999</v>
      </c>
      <c r="AC11" s="66">
        <f t="shared" ref="AC11:AM11" si="8">AC12+AC13+AC14+AC15</f>
        <v>67.19</v>
      </c>
      <c r="AD11" s="66">
        <f t="shared" si="8"/>
        <v>30.32</v>
      </c>
      <c r="AE11" s="66">
        <f t="shared" si="8"/>
        <v>23.84</v>
      </c>
      <c r="AF11" s="66">
        <f t="shared" si="8"/>
        <v>53.27</v>
      </c>
      <c r="AG11" s="66">
        <f t="shared" si="8"/>
        <v>36.580000000000005</v>
      </c>
      <c r="AH11" s="66">
        <f t="shared" si="8"/>
        <v>23.66</v>
      </c>
      <c r="AI11" s="66">
        <f t="shared" si="8"/>
        <v>21.45</v>
      </c>
      <c r="AJ11" s="66">
        <f t="shared" si="8"/>
        <v>0</v>
      </c>
      <c r="AK11" s="66">
        <f t="shared" si="8"/>
        <v>0</v>
      </c>
      <c r="AL11" s="66">
        <f t="shared" si="8"/>
        <v>0</v>
      </c>
      <c r="AM11" s="66">
        <f t="shared" si="8"/>
        <v>0</v>
      </c>
      <c r="AN11" s="104">
        <f t="shared" si="5"/>
        <v>437.16999999999996</v>
      </c>
    </row>
    <row r="12" spans="1:40" hidden="1" outlineLevel="2">
      <c r="A12" s="37" t="s">
        <v>80</v>
      </c>
      <c r="B12" s="54"/>
      <c r="C12" s="54"/>
      <c r="D12" s="54"/>
      <c r="E12" s="54"/>
      <c r="F12" s="54"/>
      <c r="G12" s="54">
        <v>576.17999999999995</v>
      </c>
      <c r="H12" s="54">
        <v>1387</v>
      </c>
      <c r="I12" s="54">
        <v>2835.45</v>
      </c>
      <c r="J12" s="54">
        <v>3559.22</v>
      </c>
      <c r="K12" s="54">
        <v>2706.93</v>
      </c>
      <c r="L12" s="54">
        <v>1465.57</v>
      </c>
      <c r="M12" s="55">
        <v>1061.2</v>
      </c>
      <c r="N12" s="103">
        <f t="shared" si="1"/>
        <v>13591.55</v>
      </c>
      <c r="O12" s="54">
        <v>1639.66</v>
      </c>
      <c r="P12" s="54">
        <v>1224.97</v>
      </c>
      <c r="Q12" s="54">
        <v>1208.98</v>
      </c>
      <c r="R12" s="54">
        <v>718.79</v>
      </c>
      <c r="S12" s="54">
        <v>1138.3499999999999</v>
      </c>
      <c r="T12" s="54">
        <f>879.09+10.4</f>
        <v>889.49</v>
      </c>
      <c r="U12" s="54">
        <v>352.2</v>
      </c>
      <c r="V12" s="54">
        <v>450.91</v>
      </c>
      <c r="W12" s="54">
        <v>38.25</v>
      </c>
      <c r="X12" s="54">
        <v>20.350000000000001</v>
      </c>
      <c r="Y12" s="54">
        <v>30.21</v>
      </c>
      <c r="Z12" s="55">
        <f>28.5+19.53</f>
        <v>48.03</v>
      </c>
      <c r="AA12" s="103">
        <f t="shared" si="3"/>
        <v>7760.19</v>
      </c>
      <c r="AB12" s="54">
        <f>10.23+9.79</f>
        <v>20.02</v>
      </c>
      <c r="AC12" s="54">
        <v>16.690000000000001</v>
      </c>
      <c r="AD12" s="54">
        <v>19.489999999999998</v>
      </c>
      <c r="AE12" s="54">
        <v>13.43</v>
      </c>
      <c r="AF12" s="54">
        <v>39.81</v>
      </c>
      <c r="AG12" s="54">
        <v>26.23</v>
      </c>
      <c r="AH12" s="54">
        <v>17.670000000000002</v>
      </c>
      <c r="AI12" s="54">
        <v>15.24</v>
      </c>
      <c r="AJ12" s="54"/>
      <c r="AK12" s="54"/>
      <c r="AL12" s="54"/>
      <c r="AM12" s="55"/>
      <c r="AN12" s="103">
        <f t="shared" si="5"/>
        <v>168.57999999999998</v>
      </c>
    </row>
    <row r="13" spans="1:40" hidden="1" outlineLevel="2">
      <c r="A13" s="37" t="s">
        <v>46</v>
      </c>
      <c r="B13" s="54"/>
      <c r="C13" s="54"/>
      <c r="D13" s="54"/>
      <c r="E13" s="55"/>
      <c r="F13" s="55"/>
      <c r="G13" s="55">
        <v>61.94</v>
      </c>
      <c r="H13" s="55">
        <v>143</v>
      </c>
      <c r="I13" s="55">
        <v>185.97</v>
      </c>
      <c r="J13" s="55">
        <v>533.57000000000005</v>
      </c>
      <c r="K13" s="55">
        <v>295.13</v>
      </c>
      <c r="L13" s="55">
        <v>181.1</v>
      </c>
      <c r="M13" s="55">
        <v>145.87</v>
      </c>
      <c r="N13" s="103">
        <f t="shared" si="1"/>
        <v>1546.58</v>
      </c>
      <c r="O13" s="54">
        <v>469.38</v>
      </c>
      <c r="P13" s="54">
        <v>269.60000000000002</v>
      </c>
      <c r="Q13" s="54">
        <v>90.06</v>
      </c>
      <c r="R13" s="55">
        <v>66.42</v>
      </c>
      <c r="S13" s="55">
        <v>47.67</v>
      </c>
      <c r="T13" s="55">
        <v>84.55</v>
      </c>
      <c r="U13" s="55">
        <v>25.52</v>
      </c>
      <c r="V13" s="55">
        <v>135.88</v>
      </c>
      <c r="W13" s="55">
        <v>36.229999999999997</v>
      </c>
      <c r="X13" s="55">
        <v>20.87</v>
      </c>
      <c r="Y13" s="55">
        <v>64.97</v>
      </c>
      <c r="Z13" s="55">
        <v>39.880000000000003</v>
      </c>
      <c r="AA13" s="103">
        <f t="shared" si="3"/>
        <v>1351.03</v>
      </c>
      <c r="AB13" s="54">
        <v>40.549999999999997</v>
      </c>
      <c r="AC13" s="54">
        <v>4</v>
      </c>
      <c r="AD13" s="54">
        <v>1.01</v>
      </c>
      <c r="AE13" s="55">
        <v>1.51</v>
      </c>
      <c r="AF13" s="55">
        <v>1.76</v>
      </c>
      <c r="AG13" s="55">
        <v>0.8</v>
      </c>
      <c r="AH13" s="55">
        <v>0.55000000000000004</v>
      </c>
      <c r="AI13" s="55">
        <v>0.66</v>
      </c>
      <c r="AJ13" s="55"/>
      <c r="AK13" s="55"/>
      <c r="AL13" s="55"/>
      <c r="AM13" s="55"/>
      <c r="AN13" s="103">
        <f t="shared" si="5"/>
        <v>50.839999999999982</v>
      </c>
    </row>
    <row r="14" spans="1:40" hidden="1" outlineLevel="2">
      <c r="A14" s="37" t="s">
        <v>86</v>
      </c>
      <c r="B14" s="54"/>
      <c r="C14" s="54"/>
      <c r="D14" s="55"/>
      <c r="E14" s="55"/>
      <c r="F14" s="55"/>
      <c r="G14" s="55">
        <v>199.99</v>
      </c>
      <c r="H14" s="55">
        <v>1631</v>
      </c>
      <c r="I14" s="55">
        <v>1631.65</v>
      </c>
      <c r="J14" s="55">
        <v>6107.4</v>
      </c>
      <c r="K14" s="55">
        <v>3090.09</v>
      </c>
      <c r="L14" s="55">
        <v>3681.15</v>
      </c>
      <c r="M14" s="55">
        <v>4814.8500000000004</v>
      </c>
      <c r="N14" s="103">
        <f t="shared" si="1"/>
        <v>21156.13</v>
      </c>
      <c r="O14" s="54">
        <v>1608.35</v>
      </c>
      <c r="P14" s="54">
        <v>1067.0899999999999</v>
      </c>
      <c r="Q14" s="55">
        <v>1466.73</v>
      </c>
      <c r="R14" s="55">
        <v>679.71</v>
      </c>
      <c r="S14" s="55">
        <v>820.76</v>
      </c>
      <c r="T14" s="55">
        <v>2062.23</v>
      </c>
      <c r="U14" s="55">
        <v>2168.7199999999998</v>
      </c>
      <c r="V14" s="55">
        <v>1881.65</v>
      </c>
      <c r="W14" s="55">
        <v>884.21</v>
      </c>
      <c r="X14" s="55">
        <v>1282.42</v>
      </c>
      <c r="Y14" s="55">
        <v>106.18</v>
      </c>
      <c r="Z14" s="55">
        <v>118.56</v>
      </c>
      <c r="AA14" s="103">
        <f t="shared" si="3"/>
        <v>14146.61</v>
      </c>
      <c r="AB14" s="54">
        <v>119.52</v>
      </c>
      <c r="AC14" s="54">
        <v>46.5</v>
      </c>
      <c r="AD14" s="55">
        <v>9.17</v>
      </c>
      <c r="AE14" s="55">
        <v>8.1999999999999993</v>
      </c>
      <c r="AF14" s="55">
        <v>10.66</v>
      </c>
      <c r="AG14" s="55">
        <v>8.7100000000000009</v>
      </c>
      <c r="AH14" s="55">
        <v>4.8499999999999996</v>
      </c>
      <c r="AI14" s="55">
        <v>5.03</v>
      </c>
      <c r="AJ14" s="55"/>
      <c r="AK14" s="55"/>
      <c r="AL14" s="55"/>
      <c r="AM14" s="55"/>
      <c r="AN14" s="103">
        <f t="shared" si="5"/>
        <v>212.63999999999996</v>
      </c>
    </row>
    <row r="15" spans="1:40" hidden="1" outlineLevel="1" collapsed="1">
      <c r="A15" s="37" t="s">
        <v>87</v>
      </c>
      <c r="B15" s="54"/>
      <c r="C15" s="54"/>
      <c r="D15" s="54"/>
      <c r="E15" s="55"/>
      <c r="F15" s="55"/>
      <c r="G15" s="55">
        <v>94.86</v>
      </c>
      <c r="H15" s="55">
        <v>195</v>
      </c>
      <c r="I15" s="55">
        <v>98.93</v>
      </c>
      <c r="J15" s="55">
        <v>219.57</v>
      </c>
      <c r="K15" s="55">
        <v>210</v>
      </c>
      <c r="L15" s="55">
        <v>230.06</v>
      </c>
      <c r="M15" s="55">
        <v>367.79</v>
      </c>
      <c r="N15" s="103">
        <f t="shared" si="1"/>
        <v>1416.21</v>
      </c>
      <c r="O15" s="54">
        <v>131.33000000000001</v>
      </c>
      <c r="P15" s="54">
        <v>74.09</v>
      </c>
      <c r="Q15" s="54">
        <v>90.37</v>
      </c>
      <c r="R15" s="55">
        <v>38.44</v>
      </c>
      <c r="S15" s="55">
        <v>53.59</v>
      </c>
      <c r="T15" s="55">
        <v>117.52</v>
      </c>
      <c r="U15" s="55">
        <v>120.91</v>
      </c>
      <c r="V15" s="55">
        <v>237.29</v>
      </c>
      <c r="W15" s="55">
        <v>71.78</v>
      </c>
      <c r="X15" s="55">
        <v>45.59</v>
      </c>
      <c r="Y15" s="55">
        <v>74.12</v>
      </c>
      <c r="Z15" s="55">
        <v>41.13</v>
      </c>
      <c r="AA15" s="103">
        <f t="shared" si="3"/>
        <v>1096.1600000000001</v>
      </c>
      <c r="AB15" s="54">
        <v>0.77</v>
      </c>
      <c r="AC15" s="54">
        <v>0</v>
      </c>
      <c r="AD15" s="54">
        <v>0.65</v>
      </c>
      <c r="AE15" s="55">
        <v>0.7</v>
      </c>
      <c r="AF15" s="55">
        <v>1.04</v>
      </c>
      <c r="AG15" s="55">
        <v>0.84</v>
      </c>
      <c r="AH15" s="55">
        <v>0.59</v>
      </c>
      <c r="AI15" s="55">
        <v>0.52</v>
      </c>
      <c r="AJ15" s="55"/>
      <c r="AK15" s="55"/>
      <c r="AL15" s="55"/>
      <c r="AM15" s="55"/>
      <c r="AN15" s="103">
        <f t="shared" si="5"/>
        <v>5.1099999999999994</v>
      </c>
    </row>
    <row r="16" spans="1:40" collapsed="1">
      <c r="A16" s="38" t="s">
        <v>88</v>
      </c>
      <c r="B16" s="55">
        <f>B17+B18+B19+B20</f>
        <v>1545.9459459459458</v>
      </c>
      <c r="C16" s="55">
        <f t="shared" ref="C16:M16" si="9">C17+C18+C19+C20</f>
        <v>1630.6306306306305</v>
      </c>
      <c r="D16" s="55">
        <f t="shared" si="9"/>
        <v>1950.9090909090908</v>
      </c>
      <c r="E16" s="55">
        <f t="shared" si="9"/>
        <v>2146.2264150943397</v>
      </c>
      <c r="F16" s="55">
        <f t="shared" si="9"/>
        <v>3107.13</v>
      </c>
      <c r="G16" s="55">
        <f t="shared" si="9"/>
        <v>2920</v>
      </c>
      <c r="H16" s="55">
        <f t="shared" si="9"/>
        <v>2499.69</v>
      </c>
      <c r="I16" s="55">
        <f t="shared" si="9"/>
        <v>1949</v>
      </c>
      <c r="J16" s="55">
        <f t="shared" si="9"/>
        <v>1832</v>
      </c>
      <c r="K16" s="55">
        <f t="shared" si="9"/>
        <v>1431</v>
      </c>
      <c r="L16" s="55">
        <f t="shared" si="9"/>
        <v>1209.96</v>
      </c>
      <c r="M16" s="55">
        <f t="shared" si="9"/>
        <v>1596.6799999999998</v>
      </c>
      <c r="N16" s="103">
        <f t="shared" si="1"/>
        <v>23819.172082580008</v>
      </c>
      <c r="O16" s="55">
        <f>O17+O18+O19+O20</f>
        <v>797.09999999999991</v>
      </c>
      <c r="P16" s="55">
        <f t="shared" ref="P16:Z16" si="10">P17+P18+P19+P20</f>
        <v>580.77</v>
      </c>
      <c r="Q16" s="55">
        <f t="shared" si="10"/>
        <v>769.78</v>
      </c>
      <c r="R16" s="55">
        <f t="shared" si="10"/>
        <v>532.54</v>
      </c>
      <c r="S16" s="55">
        <f t="shared" si="10"/>
        <v>789.41</v>
      </c>
      <c r="T16" s="55">
        <f t="shared" si="10"/>
        <v>1209.98</v>
      </c>
      <c r="U16" s="55">
        <f t="shared" si="10"/>
        <v>779.68</v>
      </c>
      <c r="V16" s="55">
        <f t="shared" si="10"/>
        <v>714.42</v>
      </c>
      <c r="W16" s="55">
        <f t="shared" si="10"/>
        <v>736.08400000000006</v>
      </c>
      <c r="X16" s="55">
        <f t="shared" si="10"/>
        <v>526.33000000000004</v>
      </c>
      <c r="Y16" s="55">
        <f t="shared" si="10"/>
        <v>598.66999999999996</v>
      </c>
      <c r="Z16" s="55">
        <f t="shared" si="10"/>
        <v>558.38</v>
      </c>
      <c r="AA16" s="103">
        <f t="shared" si="3"/>
        <v>8593.1440000000002</v>
      </c>
      <c r="AB16" s="55">
        <f>AB17+AB18+AB19+AB20</f>
        <v>290.21000000000004</v>
      </c>
      <c r="AC16" s="55">
        <f t="shared" ref="AC16:AM16" si="11">AC17+AC18+AC19+AC20</f>
        <v>259.67999999999995</v>
      </c>
      <c r="AD16" s="55">
        <f t="shared" si="11"/>
        <v>318</v>
      </c>
      <c r="AE16" s="55">
        <f t="shared" si="11"/>
        <v>327.10000000000002</v>
      </c>
      <c r="AF16" s="55">
        <f t="shared" si="11"/>
        <v>474.14</v>
      </c>
      <c r="AG16" s="55">
        <f t="shared" si="11"/>
        <v>865.01</v>
      </c>
      <c r="AH16" s="55">
        <f t="shared" si="11"/>
        <v>598.42999999999995</v>
      </c>
      <c r="AI16" s="55">
        <f t="shared" si="11"/>
        <v>1154.7199999999998</v>
      </c>
      <c r="AJ16" s="55">
        <f t="shared" si="11"/>
        <v>0</v>
      </c>
      <c r="AK16" s="55">
        <f t="shared" si="11"/>
        <v>0</v>
      </c>
      <c r="AL16" s="55">
        <f t="shared" si="11"/>
        <v>0</v>
      </c>
      <c r="AM16" s="55">
        <f t="shared" si="11"/>
        <v>0</v>
      </c>
      <c r="AN16" s="103">
        <f t="shared" si="5"/>
        <v>4287.29</v>
      </c>
    </row>
    <row r="17" spans="1:40" hidden="1" outlineLevel="1">
      <c r="A17" s="37" t="s">
        <v>79</v>
      </c>
      <c r="B17" s="55">
        <f>1554/1.11</f>
        <v>1399.9999999999998</v>
      </c>
      <c r="C17" s="55">
        <f>1574/1.11</f>
        <v>1418.018018018018</v>
      </c>
      <c r="D17" s="55">
        <f>1869/1.1</f>
        <v>1699.090909090909</v>
      </c>
      <c r="E17" s="55">
        <f>1758/1.06</f>
        <v>1658.4905660377358</v>
      </c>
      <c r="F17" s="55">
        <f>1608*0.93</f>
        <v>1495.44</v>
      </c>
      <c r="G17" s="55">
        <v>1107</v>
      </c>
      <c r="H17" s="55">
        <f>1163*0.97</f>
        <v>1128.1099999999999</v>
      </c>
      <c r="I17" s="55">
        <v>980</v>
      </c>
      <c r="J17" s="55">
        <v>837</v>
      </c>
      <c r="K17" s="55">
        <v>594</v>
      </c>
      <c r="L17" s="55">
        <v>633.70000000000005</v>
      </c>
      <c r="M17" s="55">
        <v>768.78</v>
      </c>
      <c r="N17" s="103">
        <f t="shared" si="1"/>
        <v>13719.629493146665</v>
      </c>
      <c r="O17" s="55">
        <v>322.82</v>
      </c>
      <c r="P17" s="55">
        <v>373.23</v>
      </c>
      <c r="Q17" s="55">
        <v>159.49</v>
      </c>
      <c r="R17" s="55">
        <v>269.27999999999997</v>
      </c>
      <c r="S17" s="55">
        <v>491</v>
      </c>
      <c r="T17" s="55">
        <v>840.92</v>
      </c>
      <c r="U17" s="55">
        <v>520.54999999999995</v>
      </c>
      <c r="V17" s="55">
        <v>349.68</v>
      </c>
      <c r="W17" s="55">
        <v>413.5</v>
      </c>
      <c r="X17" s="55">
        <v>277.27999999999997</v>
      </c>
      <c r="Y17" s="55">
        <v>338.49</v>
      </c>
      <c r="Z17" s="55">
        <v>257.41000000000003</v>
      </c>
      <c r="AA17" s="103">
        <f t="shared" si="3"/>
        <v>4613.6499999999996</v>
      </c>
      <c r="AB17" s="55">
        <v>153.49</v>
      </c>
      <c r="AC17" s="55">
        <v>107.07</v>
      </c>
      <c r="AD17" s="55">
        <v>146.46</v>
      </c>
      <c r="AE17" s="55">
        <v>161.65</v>
      </c>
      <c r="AF17" s="55">
        <v>140.96</v>
      </c>
      <c r="AG17" s="55">
        <v>214.63</v>
      </c>
      <c r="AH17" s="55">
        <v>157.86000000000001</v>
      </c>
      <c r="AI17" s="55">
        <v>183.26</v>
      </c>
      <c r="AJ17" s="55"/>
      <c r="AK17" s="55"/>
      <c r="AL17" s="55"/>
      <c r="AM17" s="55"/>
      <c r="AN17" s="103">
        <f t="shared" si="5"/>
        <v>1265.3799999999999</v>
      </c>
    </row>
    <row r="18" spans="1:40" hidden="1" outlineLevel="1">
      <c r="A18" s="37" t="s">
        <v>44</v>
      </c>
      <c r="B18" s="55"/>
      <c r="C18" s="55"/>
      <c r="D18" s="55"/>
      <c r="E18" s="55">
        <f>114/1.06</f>
        <v>107.54716981132074</v>
      </c>
      <c r="F18" s="55">
        <f>1311*0.93</f>
        <v>1219.23</v>
      </c>
      <c r="G18" s="55">
        <v>1353</v>
      </c>
      <c r="H18" s="55">
        <f>1265*0.97</f>
        <v>1227.05</v>
      </c>
      <c r="I18" s="55">
        <v>811</v>
      </c>
      <c r="J18" s="55">
        <v>833</v>
      </c>
      <c r="K18" s="55">
        <v>657</v>
      </c>
      <c r="L18" s="55">
        <v>425</v>
      </c>
      <c r="M18" s="55">
        <v>661.17</v>
      </c>
      <c r="N18" s="103">
        <f t="shared" si="1"/>
        <v>7293.9971698113213</v>
      </c>
      <c r="O18" s="55">
        <v>322.48</v>
      </c>
      <c r="P18" s="55">
        <v>122.27</v>
      </c>
      <c r="Q18" s="55">
        <v>548.98</v>
      </c>
      <c r="R18" s="55">
        <v>254.67</v>
      </c>
      <c r="S18" s="55">
        <v>283.06</v>
      </c>
      <c r="T18" s="55">
        <v>358.31</v>
      </c>
      <c r="U18" s="55">
        <v>250.51</v>
      </c>
      <c r="V18" s="55">
        <v>343.09</v>
      </c>
      <c r="W18" s="55">
        <v>299.43400000000003</v>
      </c>
      <c r="X18" s="55">
        <v>218.74</v>
      </c>
      <c r="Y18" s="55">
        <v>204.75</v>
      </c>
      <c r="Z18" s="55">
        <v>276.10000000000002</v>
      </c>
      <c r="AA18" s="103">
        <f t="shared" si="3"/>
        <v>3482.3939999999998</v>
      </c>
      <c r="AB18" s="55">
        <v>106.65</v>
      </c>
      <c r="AC18" s="55">
        <v>111.83</v>
      </c>
      <c r="AD18" s="55">
        <v>138.88</v>
      </c>
      <c r="AE18" s="55">
        <v>149.11000000000001</v>
      </c>
      <c r="AF18" s="55">
        <v>285.45999999999998</v>
      </c>
      <c r="AG18" s="55">
        <v>560.24</v>
      </c>
      <c r="AH18" s="55">
        <v>417.26</v>
      </c>
      <c r="AI18" s="55">
        <v>951.61</v>
      </c>
      <c r="AJ18" s="55"/>
      <c r="AK18" s="55"/>
      <c r="AL18" s="55"/>
      <c r="AM18" s="55"/>
      <c r="AN18" s="103">
        <f t="shared" si="5"/>
        <v>2721.04</v>
      </c>
    </row>
    <row r="19" spans="1:40" hidden="1" outlineLevel="1">
      <c r="A19" s="37" t="s">
        <v>89</v>
      </c>
      <c r="B19" s="55">
        <f>50/1.11</f>
        <v>45.045045045045043</v>
      </c>
      <c r="C19" s="55">
        <f>10/1.11</f>
        <v>9.0090090090090076</v>
      </c>
      <c r="D19" s="55">
        <f>16/1.1</f>
        <v>14.545454545454545</v>
      </c>
      <c r="E19" s="55">
        <f>55/1.06</f>
        <v>51.886792452830186</v>
      </c>
      <c r="F19" s="55">
        <f>35*0.93</f>
        <v>32.550000000000004</v>
      </c>
      <c r="G19" s="55"/>
      <c r="H19" s="55">
        <f>9*0.97</f>
        <v>8.73</v>
      </c>
      <c r="I19" s="55">
        <v>1</v>
      </c>
      <c r="J19" s="55">
        <v>5</v>
      </c>
      <c r="K19" s="55">
        <v>73</v>
      </c>
      <c r="L19" s="55">
        <v>37.369999999999997</v>
      </c>
      <c r="M19" s="55">
        <v>89.23</v>
      </c>
      <c r="N19" s="103">
        <f t="shared" si="1"/>
        <v>367.36630105233877</v>
      </c>
      <c r="O19" s="55">
        <v>89.37</v>
      </c>
      <c r="P19" s="55">
        <v>28.35</v>
      </c>
      <c r="Q19" s="55">
        <v>28.3</v>
      </c>
      <c r="R19" s="55">
        <v>0.14000000000000001</v>
      </c>
      <c r="S19" s="55">
        <v>0.44</v>
      </c>
      <c r="T19" s="55">
        <v>0.43</v>
      </c>
      <c r="U19" s="55">
        <v>5.53</v>
      </c>
      <c r="V19" s="55">
        <v>2.92</v>
      </c>
      <c r="W19" s="55">
        <v>3.19</v>
      </c>
      <c r="X19" s="55">
        <v>7.66</v>
      </c>
      <c r="Y19" s="55">
        <v>21.64</v>
      </c>
      <c r="Z19" s="55">
        <v>0.61</v>
      </c>
      <c r="AA19" s="103">
        <f t="shared" si="3"/>
        <v>188.57999999999998</v>
      </c>
      <c r="AB19" s="55">
        <v>0.6</v>
      </c>
      <c r="AC19" s="55">
        <v>0.82</v>
      </c>
      <c r="AD19" s="55">
        <v>0.33</v>
      </c>
      <c r="AE19" s="55">
        <v>0.3</v>
      </c>
      <c r="AF19" s="55">
        <v>3.72</v>
      </c>
      <c r="AG19" s="55">
        <v>4.8099999999999996</v>
      </c>
      <c r="AH19" s="55">
        <v>2.5299999999999998</v>
      </c>
      <c r="AI19" s="55">
        <v>0.83</v>
      </c>
      <c r="AJ19" s="55"/>
      <c r="AK19" s="55"/>
      <c r="AL19" s="55"/>
      <c r="AM19" s="55"/>
      <c r="AN19" s="103">
        <f t="shared" si="5"/>
        <v>13.939999999999998</v>
      </c>
    </row>
    <row r="20" spans="1:40" hidden="1" outlineLevel="1">
      <c r="A20" s="37" t="s">
        <v>90</v>
      </c>
      <c r="B20" s="55">
        <f>112/1.11</f>
        <v>100.90090090090089</v>
      </c>
      <c r="C20" s="55">
        <f>226/1.11</f>
        <v>203.60360360360357</v>
      </c>
      <c r="D20" s="55">
        <f>261/1.1</f>
        <v>237.27272727272725</v>
      </c>
      <c r="E20" s="55">
        <f>348/1.06</f>
        <v>328.30188679245282</v>
      </c>
      <c r="F20" s="55">
        <f>387*0.93</f>
        <v>359.91</v>
      </c>
      <c r="G20" s="55">
        <v>460</v>
      </c>
      <c r="H20" s="55">
        <f>140*0.97</f>
        <v>135.79999999999998</v>
      </c>
      <c r="I20" s="55">
        <v>157</v>
      </c>
      <c r="J20" s="55">
        <v>157</v>
      </c>
      <c r="K20" s="55">
        <v>107</v>
      </c>
      <c r="L20" s="55">
        <v>113.89</v>
      </c>
      <c r="M20" s="55">
        <v>77.5</v>
      </c>
      <c r="N20" s="103">
        <f t="shared" si="1"/>
        <v>2438.1791185696843</v>
      </c>
      <c r="O20" s="55">
        <v>62.43</v>
      </c>
      <c r="P20" s="55">
        <v>56.92</v>
      </c>
      <c r="Q20" s="55">
        <v>33.01</v>
      </c>
      <c r="R20" s="55">
        <v>8.4499999999999993</v>
      </c>
      <c r="S20" s="55">
        <v>14.91</v>
      </c>
      <c r="T20" s="55">
        <v>10.32</v>
      </c>
      <c r="U20" s="55">
        <v>3.09</v>
      </c>
      <c r="V20" s="55">
        <v>18.73</v>
      </c>
      <c r="W20" s="55">
        <v>19.96</v>
      </c>
      <c r="X20" s="55">
        <v>22.65</v>
      </c>
      <c r="Y20" s="55">
        <v>33.79</v>
      </c>
      <c r="Z20" s="55">
        <v>24.26</v>
      </c>
      <c r="AA20" s="103">
        <f t="shared" si="3"/>
        <v>308.52</v>
      </c>
      <c r="AB20" s="55">
        <v>29.47</v>
      </c>
      <c r="AC20" s="55">
        <v>39.96</v>
      </c>
      <c r="AD20" s="55">
        <v>32.33</v>
      </c>
      <c r="AE20" s="55">
        <v>16.04</v>
      </c>
      <c r="AF20" s="55">
        <v>44</v>
      </c>
      <c r="AG20" s="55">
        <v>85.33</v>
      </c>
      <c r="AH20" s="55">
        <v>20.78</v>
      </c>
      <c r="AI20" s="55">
        <v>19.02</v>
      </c>
      <c r="AJ20" s="55"/>
      <c r="AK20" s="55"/>
      <c r="AL20" s="55"/>
      <c r="AM20" s="55"/>
      <c r="AN20" s="103">
        <f t="shared" si="5"/>
        <v>286.92999999999995</v>
      </c>
    </row>
    <row r="21" spans="1:40" collapsed="1">
      <c r="A21" s="67" t="s">
        <v>113</v>
      </c>
      <c r="B21" s="139">
        <f>B22+B23</f>
        <v>29537.17</v>
      </c>
      <c r="C21" s="139">
        <f t="shared" ref="C21:L21" si="12">C22+C23</f>
        <v>26902.35</v>
      </c>
      <c r="D21" s="139">
        <f t="shared" si="12"/>
        <v>22790.400000000001</v>
      </c>
      <c r="E21" s="139">
        <f t="shared" si="12"/>
        <v>16723.400000000001</v>
      </c>
      <c r="F21" s="139">
        <f t="shared" si="12"/>
        <v>14832.33</v>
      </c>
      <c r="G21" s="139">
        <f t="shared" si="12"/>
        <v>15324.78</v>
      </c>
      <c r="H21" s="139">
        <f t="shared" si="12"/>
        <v>17104.317142857144</v>
      </c>
      <c r="I21" s="139">
        <f t="shared" si="12"/>
        <v>10768.495049504949</v>
      </c>
      <c r="J21" s="139">
        <f t="shared" si="12"/>
        <v>16220.407171717172</v>
      </c>
      <c r="K21" s="139">
        <f t="shared" si="12"/>
        <v>16526.690000000002</v>
      </c>
      <c r="L21" s="139">
        <f t="shared" si="12"/>
        <v>31383.9</v>
      </c>
      <c r="M21" s="139">
        <f>M22+M23+M25</f>
        <v>36496.79</v>
      </c>
      <c r="N21" s="141">
        <f t="shared" si="1"/>
        <v>254611.02936407927</v>
      </c>
      <c r="O21" s="139">
        <f t="shared" ref="O21:T21" si="13">O22+O23+O25</f>
        <v>25261.200000000001</v>
      </c>
      <c r="P21" s="139">
        <f t="shared" si="13"/>
        <v>15847.17</v>
      </c>
      <c r="Q21" s="66">
        <f t="shared" si="13"/>
        <v>23543.21</v>
      </c>
      <c r="R21" s="139">
        <f t="shared" si="13"/>
        <v>17792.260000000002</v>
      </c>
      <c r="S21" s="66">
        <f t="shared" si="13"/>
        <v>15279.740000000002</v>
      </c>
      <c r="T21" s="66">
        <f t="shared" si="13"/>
        <v>18870.14</v>
      </c>
      <c r="U21" s="139">
        <f t="shared" ref="U21:Z21" si="14">U22+U23+U25+U24</f>
        <v>25794.760000000002</v>
      </c>
      <c r="V21" s="139">
        <f t="shared" si="14"/>
        <v>20334.229999999996</v>
      </c>
      <c r="W21" s="139">
        <f t="shared" si="14"/>
        <v>23342</v>
      </c>
      <c r="X21" s="139">
        <f t="shared" si="14"/>
        <v>33173.550000000003</v>
      </c>
      <c r="Y21" s="139">
        <f t="shared" si="14"/>
        <v>38934.450000000004</v>
      </c>
      <c r="Z21" s="139">
        <f t="shared" si="14"/>
        <v>40560</v>
      </c>
      <c r="AA21" s="141">
        <f t="shared" si="3"/>
        <v>298732.71000000002</v>
      </c>
      <c r="AB21" s="139">
        <f>AB22+AB23+AB24+AB25</f>
        <v>33295.99</v>
      </c>
      <c r="AC21" s="139">
        <f t="shared" ref="AC21:AM21" si="15">AC22+AC23+AC24+AC25</f>
        <v>39095</v>
      </c>
      <c r="AD21" s="139">
        <f t="shared" si="15"/>
        <v>59301</v>
      </c>
      <c r="AE21" s="139">
        <f t="shared" si="15"/>
        <v>51310.06</v>
      </c>
      <c r="AF21" s="139">
        <f t="shared" si="15"/>
        <v>36812.890000000007</v>
      </c>
      <c r="AG21" s="139">
        <f t="shared" si="15"/>
        <v>38421.030000000006</v>
      </c>
      <c r="AH21" s="139">
        <f t="shared" si="15"/>
        <v>37260.449999999997</v>
      </c>
      <c r="AI21" s="139">
        <f t="shared" si="15"/>
        <v>0</v>
      </c>
      <c r="AJ21" s="139">
        <f t="shared" si="15"/>
        <v>0</v>
      </c>
      <c r="AK21" s="139">
        <f t="shared" si="15"/>
        <v>0</v>
      </c>
      <c r="AL21" s="139">
        <f t="shared" si="15"/>
        <v>0</v>
      </c>
      <c r="AM21" s="139">
        <f t="shared" si="15"/>
        <v>0</v>
      </c>
      <c r="AN21" s="141">
        <f t="shared" si="5"/>
        <v>295496.42</v>
      </c>
    </row>
    <row r="22" spans="1:40" hidden="1" outlineLevel="1">
      <c r="A22" s="37" t="s">
        <v>36</v>
      </c>
      <c r="B22" s="55">
        <v>29537.17</v>
      </c>
      <c r="C22" s="55">
        <v>26902.35</v>
      </c>
      <c r="D22" s="55">
        <v>22790.400000000001</v>
      </c>
      <c r="E22" s="55">
        <v>16723.400000000001</v>
      </c>
      <c r="F22" s="55">
        <v>14832.33</v>
      </c>
      <c r="G22" s="55">
        <v>15324.78</v>
      </c>
      <c r="H22" s="55">
        <v>16857.857142857145</v>
      </c>
      <c r="I22" s="55">
        <v>10526.029702970296</v>
      </c>
      <c r="J22" s="55">
        <v>15791.307171717172</v>
      </c>
      <c r="K22" s="55">
        <v>15767.45</v>
      </c>
      <c r="L22" s="55">
        <v>17918.38</v>
      </c>
      <c r="M22" s="55">
        <v>19401.689999999999</v>
      </c>
      <c r="N22" s="105">
        <f t="shared" si="1"/>
        <v>222373.14401754463</v>
      </c>
      <c r="O22" s="55">
        <v>14766.85</v>
      </c>
      <c r="P22" s="55">
        <v>9600.7099999999991</v>
      </c>
      <c r="Q22" s="54">
        <v>16667.8</v>
      </c>
      <c r="R22" s="55">
        <v>12896.85</v>
      </c>
      <c r="S22" s="54">
        <v>12624.44</v>
      </c>
      <c r="T22" s="54">
        <v>15598.35</v>
      </c>
      <c r="U22" s="54">
        <v>21069</v>
      </c>
      <c r="V22" s="55">
        <v>17973.599999999999</v>
      </c>
      <c r="W22" s="55">
        <v>20300</v>
      </c>
      <c r="X22" s="55">
        <v>30732.639999999999</v>
      </c>
      <c r="Y22" s="55">
        <v>37390</v>
      </c>
      <c r="Z22" s="55">
        <v>39203</v>
      </c>
      <c r="AA22" s="105">
        <f t="shared" si="3"/>
        <v>248823.24</v>
      </c>
      <c r="AB22" s="55">
        <v>32235.23</v>
      </c>
      <c r="AC22" s="54">
        <v>37650</v>
      </c>
      <c r="AD22" s="54">
        <v>57422</v>
      </c>
      <c r="AE22" s="54">
        <v>49310.73</v>
      </c>
      <c r="AF22" s="54">
        <v>33841.47</v>
      </c>
      <c r="AG22" s="54">
        <v>34140.9</v>
      </c>
      <c r="AH22" s="54">
        <v>34577.67</v>
      </c>
      <c r="AI22" s="55"/>
      <c r="AJ22" s="55"/>
      <c r="AK22" s="55"/>
      <c r="AL22" s="55"/>
      <c r="AM22" s="56"/>
      <c r="AN22" s="105">
        <f t="shared" si="5"/>
        <v>279178</v>
      </c>
    </row>
    <row r="23" spans="1:40" hidden="1" outlineLevel="1">
      <c r="A23" s="37" t="s">
        <v>57</v>
      </c>
      <c r="B23" s="55"/>
      <c r="C23" s="55"/>
      <c r="D23" s="55"/>
      <c r="E23" s="55"/>
      <c r="F23" s="55"/>
      <c r="G23" s="55"/>
      <c r="H23" s="55">
        <v>246.46</v>
      </c>
      <c r="I23" s="55">
        <v>242.46534653465346</v>
      </c>
      <c r="J23" s="55">
        <v>429.1</v>
      </c>
      <c r="K23" s="55">
        <v>759.24</v>
      </c>
      <c r="L23" s="55">
        <v>13465.52</v>
      </c>
      <c r="M23" s="55">
        <v>16574.3</v>
      </c>
      <c r="N23" s="105">
        <f t="shared" si="1"/>
        <v>31717.085346534652</v>
      </c>
      <c r="O23" s="55">
        <v>9672.65</v>
      </c>
      <c r="P23" s="55">
        <v>5403.11</v>
      </c>
      <c r="Q23" s="54">
        <v>6114.99</v>
      </c>
      <c r="R23" s="55">
        <v>4508.67</v>
      </c>
      <c r="S23" s="54">
        <v>2097.69</v>
      </c>
      <c r="T23" s="54">
        <v>2943.18</v>
      </c>
      <c r="U23" s="55">
        <v>2802.51</v>
      </c>
      <c r="V23" s="55">
        <v>996.78</v>
      </c>
      <c r="W23" s="55">
        <v>1615</v>
      </c>
      <c r="X23" s="55">
        <v>1365.43</v>
      </c>
      <c r="Y23" s="55">
        <v>816.3</v>
      </c>
      <c r="Z23" s="55">
        <v>456</v>
      </c>
      <c r="AA23" s="105">
        <f t="shared" si="3"/>
        <v>38792.31</v>
      </c>
      <c r="AB23" s="55">
        <v>305.39999999999998</v>
      </c>
      <c r="AC23" s="54">
        <v>617</v>
      </c>
      <c r="AD23" s="54">
        <v>875</v>
      </c>
      <c r="AE23" s="54">
        <v>1018.38</v>
      </c>
      <c r="AF23" s="54">
        <v>1905.16</v>
      </c>
      <c r="AG23" s="54">
        <v>2693.33</v>
      </c>
      <c r="AH23" s="55">
        <v>1190.67</v>
      </c>
      <c r="AI23" s="55"/>
      <c r="AJ23" s="55"/>
      <c r="AK23" s="55"/>
      <c r="AL23" s="55"/>
      <c r="AM23" s="56"/>
      <c r="AN23" s="105">
        <f t="shared" si="5"/>
        <v>8604.94</v>
      </c>
    </row>
    <row r="24" spans="1:40" hidden="1" outlineLevel="1">
      <c r="A24" s="154" t="s">
        <v>226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2"/>
      <c r="P24" s="172"/>
      <c r="Q24" s="175"/>
      <c r="R24" s="172"/>
      <c r="S24" s="175"/>
      <c r="T24" s="175"/>
      <c r="U24" s="172">
        <v>1222.6300000000001</v>
      </c>
      <c r="V24" s="172">
        <v>887.68</v>
      </c>
      <c r="W24" s="172">
        <v>998</v>
      </c>
      <c r="X24" s="172">
        <v>795.82</v>
      </c>
      <c r="Y24" s="172">
        <v>628.91</v>
      </c>
      <c r="Z24" s="172">
        <v>815</v>
      </c>
      <c r="AA24" s="174"/>
      <c r="AB24" s="172">
        <v>739.29</v>
      </c>
      <c r="AC24" s="175">
        <v>793</v>
      </c>
      <c r="AD24" s="175">
        <v>1004</v>
      </c>
      <c r="AE24" s="175">
        <v>980.95</v>
      </c>
      <c r="AF24" s="175">
        <v>1066.26</v>
      </c>
      <c r="AG24" s="175">
        <v>1586.8</v>
      </c>
      <c r="AH24" s="172">
        <v>1492.11</v>
      </c>
      <c r="AI24" s="172"/>
      <c r="AJ24" s="172"/>
      <c r="AK24" s="172"/>
      <c r="AL24" s="172"/>
      <c r="AM24" s="176"/>
      <c r="AN24" s="174"/>
    </row>
    <row r="25" spans="1:40" hidden="1" outlineLevel="1">
      <c r="A25" s="38" t="s">
        <v>116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5">
        <v>520.79999999999995</v>
      </c>
      <c r="N25" s="105">
        <f t="shared" si="1"/>
        <v>520.79999999999995</v>
      </c>
      <c r="O25" s="55">
        <v>821.7</v>
      </c>
      <c r="P25" s="55">
        <v>843.35</v>
      </c>
      <c r="Q25" s="54">
        <v>760.42</v>
      </c>
      <c r="R25" s="55">
        <v>386.74</v>
      </c>
      <c r="S25" s="54">
        <v>557.61</v>
      </c>
      <c r="T25" s="54">
        <v>328.61</v>
      </c>
      <c r="U25" s="55">
        <v>700.62</v>
      </c>
      <c r="V25" s="55">
        <v>476.17</v>
      </c>
      <c r="W25" s="55">
        <v>429</v>
      </c>
      <c r="X25" s="55">
        <v>279.66000000000003</v>
      </c>
      <c r="Y25" s="55">
        <v>99.24</v>
      </c>
      <c r="Z25" s="55">
        <v>86</v>
      </c>
      <c r="AA25" s="105">
        <f t="shared" si="3"/>
        <v>5769.12</v>
      </c>
      <c r="AB25" s="55">
        <v>16.07</v>
      </c>
      <c r="AC25" s="54">
        <v>35</v>
      </c>
      <c r="AD25" s="54"/>
      <c r="AE25" s="54"/>
      <c r="AF25" s="54">
        <v>0</v>
      </c>
      <c r="AG25" s="54"/>
      <c r="AH25" s="55"/>
      <c r="AI25" s="55"/>
      <c r="AJ25" s="55"/>
      <c r="AK25" s="55"/>
      <c r="AL25" s="55"/>
      <c r="AM25" s="56"/>
      <c r="AN25" s="105">
        <f t="shared" ref="AN25:AN37" si="16">SUM(AB25:AM25)</f>
        <v>51.07</v>
      </c>
    </row>
    <row r="26" spans="1:40" collapsed="1">
      <c r="A26" s="37" t="s">
        <v>91</v>
      </c>
      <c r="B26" s="55">
        <f>B27+B28+B29</f>
        <v>1292</v>
      </c>
      <c r="C26" s="55">
        <f t="shared" ref="C26:M26" si="17">C27+C28+C29</f>
        <v>1136</v>
      </c>
      <c r="D26" s="55">
        <f t="shared" si="17"/>
        <v>797</v>
      </c>
      <c r="E26" s="55">
        <f t="shared" si="17"/>
        <v>1219</v>
      </c>
      <c r="F26" s="55">
        <f t="shared" si="17"/>
        <v>1709</v>
      </c>
      <c r="G26" s="55">
        <f t="shared" si="17"/>
        <v>2415</v>
      </c>
      <c r="H26" s="55">
        <f t="shared" si="17"/>
        <v>2141</v>
      </c>
      <c r="I26" s="55">
        <f t="shared" si="17"/>
        <v>1367</v>
      </c>
      <c r="J26" s="55">
        <f t="shared" si="17"/>
        <v>1785</v>
      </c>
      <c r="K26" s="55">
        <f t="shared" si="17"/>
        <v>2460</v>
      </c>
      <c r="L26" s="55">
        <f t="shared" si="17"/>
        <v>2072</v>
      </c>
      <c r="M26" s="55">
        <f t="shared" si="17"/>
        <v>2389</v>
      </c>
      <c r="N26" s="103">
        <f t="shared" si="1"/>
        <v>20782</v>
      </c>
      <c r="O26" s="55">
        <f>O27+O28+O29</f>
        <v>555</v>
      </c>
      <c r="P26" s="55">
        <f t="shared" ref="P26:Z26" si="18">P27+P28+P29</f>
        <v>570</v>
      </c>
      <c r="Q26" s="55">
        <f t="shared" si="18"/>
        <v>608</v>
      </c>
      <c r="R26" s="55">
        <f t="shared" si="18"/>
        <v>382</v>
      </c>
      <c r="S26" s="55">
        <f t="shared" si="18"/>
        <v>517</v>
      </c>
      <c r="T26" s="55">
        <f t="shared" si="18"/>
        <v>512</v>
      </c>
      <c r="U26" s="55">
        <f t="shared" si="18"/>
        <v>464</v>
      </c>
      <c r="V26" s="55">
        <f t="shared" si="18"/>
        <v>117</v>
      </c>
      <c r="W26" s="55">
        <f t="shared" si="18"/>
        <v>0</v>
      </c>
      <c r="X26" s="55">
        <f t="shared" si="18"/>
        <v>0</v>
      </c>
      <c r="Y26" s="55">
        <f t="shared" si="18"/>
        <v>0</v>
      </c>
      <c r="Z26" s="55">
        <f t="shared" si="18"/>
        <v>0</v>
      </c>
      <c r="AA26" s="103">
        <f t="shared" si="3"/>
        <v>3725</v>
      </c>
      <c r="AB26" s="55"/>
      <c r="AC26" s="55"/>
      <c r="AD26" s="54"/>
      <c r="AE26" s="54"/>
      <c r="AF26" s="54"/>
      <c r="AG26" s="55"/>
      <c r="AH26" s="55"/>
      <c r="AI26" s="55"/>
      <c r="AJ26" s="55"/>
      <c r="AK26" s="55"/>
      <c r="AL26" s="55"/>
      <c r="AM26" s="55"/>
      <c r="AN26" s="103">
        <f t="shared" si="16"/>
        <v>0</v>
      </c>
    </row>
    <row r="27" spans="1:40" hidden="1" outlineLevel="1">
      <c r="A27" s="38" t="s">
        <v>92</v>
      </c>
      <c r="B27" s="55">
        <v>237</v>
      </c>
      <c r="C27" s="55">
        <v>252</v>
      </c>
      <c r="D27" s="55">
        <v>164</v>
      </c>
      <c r="E27" s="55">
        <v>357</v>
      </c>
      <c r="F27" s="55">
        <v>358</v>
      </c>
      <c r="G27" s="55">
        <v>994</v>
      </c>
      <c r="H27" s="55">
        <v>1159</v>
      </c>
      <c r="I27" s="55">
        <v>691</v>
      </c>
      <c r="J27" s="55">
        <v>821</v>
      </c>
      <c r="K27" s="55">
        <v>900</v>
      </c>
      <c r="L27" s="55">
        <v>877</v>
      </c>
      <c r="M27" s="55">
        <v>1551</v>
      </c>
      <c r="N27" s="103">
        <f t="shared" si="1"/>
        <v>8361</v>
      </c>
      <c r="O27" s="55">
        <v>115</v>
      </c>
      <c r="P27" s="55">
        <v>160</v>
      </c>
      <c r="Q27" s="55">
        <v>41</v>
      </c>
      <c r="R27" s="55">
        <v>30</v>
      </c>
      <c r="S27" s="55">
        <v>52</v>
      </c>
      <c r="T27" s="55">
        <v>19</v>
      </c>
      <c r="U27" s="55">
        <v>35</v>
      </c>
      <c r="V27" s="55">
        <v>7</v>
      </c>
      <c r="W27" s="55">
        <v>0</v>
      </c>
      <c r="X27" s="55">
        <v>0</v>
      </c>
      <c r="Y27" s="55"/>
      <c r="Z27" s="55"/>
      <c r="AA27" s="103">
        <f t="shared" si="3"/>
        <v>459</v>
      </c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103">
        <f t="shared" si="16"/>
        <v>0</v>
      </c>
    </row>
    <row r="28" spans="1:40" hidden="1" outlineLevel="1">
      <c r="A28" s="38" t="s">
        <v>93</v>
      </c>
      <c r="B28" s="55">
        <v>82</v>
      </c>
      <c r="C28" s="55">
        <v>89</v>
      </c>
      <c r="D28" s="55">
        <v>109</v>
      </c>
      <c r="E28" s="55">
        <v>114</v>
      </c>
      <c r="F28" s="55">
        <v>134</v>
      </c>
      <c r="G28" s="55">
        <v>216</v>
      </c>
      <c r="H28" s="55">
        <v>193</v>
      </c>
      <c r="I28" s="55">
        <v>272</v>
      </c>
      <c r="J28" s="55">
        <v>293</v>
      </c>
      <c r="K28" s="55">
        <v>401</v>
      </c>
      <c r="L28" s="55">
        <v>364</v>
      </c>
      <c r="M28" s="55">
        <v>338</v>
      </c>
      <c r="N28" s="103">
        <f t="shared" si="1"/>
        <v>2605</v>
      </c>
      <c r="O28" s="55">
        <v>307</v>
      </c>
      <c r="P28" s="55">
        <v>389</v>
      </c>
      <c r="Q28" s="55">
        <v>538</v>
      </c>
      <c r="R28" s="55">
        <v>322</v>
      </c>
      <c r="S28" s="55">
        <v>378</v>
      </c>
      <c r="T28" s="55">
        <v>450</v>
      </c>
      <c r="U28" s="55">
        <v>348</v>
      </c>
      <c r="V28" s="55">
        <v>92</v>
      </c>
      <c r="W28" s="55">
        <v>0</v>
      </c>
      <c r="X28" s="55">
        <v>0</v>
      </c>
      <c r="Y28" s="55"/>
      <c r="Z28" s="55"/>
      <c r="AA28" s="103">
        <f t="shared" si="3"/>
        <v>2824</v>
      </c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103">
        <f t="shared" si="16"/>
        <v>0</v>
      </c>
    </row>
    <row r="29" spans="1:40" hidden="1" outlineLevel="1">
      <c r="A29" s="38" t="s">
        <v>94</v>
      </c>
      <c r="B29" s="55">
        <v>973</v>
      </c>
      <c r="C29" s="55">
        <v>795</v>
      </c>
      <c r="D29" s="55">
        <v>524</v>
      </c>
      <c r="E29" s="55">
        <v>748</v>
      </c>
      <c r="F29" s="55">
        <v>1217</v>
      </c>
      <c r="G29" s="55">
        <v>1205</v>
      </c>
      <c r="H29" s="55">
        <v>789</v>
      </c>
      <c r="I29" s="55">
        <v>404</v>
      </c>
      <c r="J29" s="55">
        <v>671</v>
      </c>
      <c r="K29" s="55">
        <v>1159</v>
      </c>
      <c r="L29" s="55">
        <v>831</v>
      </c>
      <c r="M29" s="55">
        <v>500</v>
      </c>
      <c r="N29" s="103">
        <f t="shared" si="1"/>
        <v>9816</v>
      </c>
      <c r="O29" s="55">
        <v>133</v>
      </c>
      <c r="P29" s="55">
        <v>21</v>
      </c>
      <c r="Q29" s="55">
        <v>29</v>
      </c>
      <c r="R29" s="55">
        <v>30</v>
      </c>
      <c r="S29" s="55">
        <v>87</v>
      </c>
      <c r="T29" s="55">
        <v>43</v>
      </c>
      <c r="U29" s="55">
        <v>81</v>
      </c>
      <c r="V29" s="55">
        <v>18</v>
      </c>
      <c r="W29" s="55">
        <v>0</v>
      </c>
      <c r="X29" s="55">
        <v>0</v>
      </c>
      <c r="Y29" s="55"/>
      <c r="Z29" s="55"/>
      <c r="AA29" s="103">
        <f t="shared" si="3"/>
        <v>442</v>
      </c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103">
        <f t="shared" si="16"/>
        <v>0</v>
      </c>
    </row>
    <row r="30" spans="1:40" collapsed="1">
      <c r="A30" s="67" t="s">
        <v>112</v>
      </c>
      <c r="B30" s="100">
        <f>B31+B32+B33+B34+B35</f>
        <v>0</v>
      </c>
      <c r="C30" s="100">
        <f t="shared" ref="C30:L30" si="19">C31+C32+C33+C34+C35</f>
        <v>0</v>
      </c>
      <c r="D30" s="100">
        <f t="shared" si="19"/>
        <v>0</v>
      </c>
      <c r="E30" s="100">
        <f t="shared" si="19"/>
        <v>0</v>
      </c>
      <c r="F30" s="100">
        <f t="shared" si="19"/>
        <v>0</v>
      </c>
      <c r="G30" s="100">
        <f t="shared" si="19"/>
        <v>0</v>
      </c>
      <c r="H30" s="100">
        <f t="shared" si="19"/>
        <v>2751.5899999999997</v>
      </c>
      <c r="I30" s="100">
        <f t="shared" si="19"/>
        <v>3338.18</v>
      </c>
      <c r="J30" s="100">
        <f t="shared" si="19"/>
        <v>2603.06</v>
      </c>
      <c r="K30" s="100">
        <f t="shared" si="19"/>
        <v>5506.3</v>
      </c>
      <c r="L30" s="100">
        <f t="shared" si="19"/>
        <v>6367.5700000000006</v>
      </c>
      <c r="M30" s="100">
        <f>M31+M32+M33+M35+M34</f>
        <v>7319.4800000000005</v>
      </c>
      <c r="N30" s="101">
        <f t="shared" si="1"/>
        <v>27886.18</v>
      </c>
      <c r="O30" s="100">
        <f>O31+O32+O33+O34+O35</f>
        <v>2666.34</v>
      </c>
      <c r="P30" s="100">
        <f t="shared" ref="P30:Z30" si="20">P31+P32+P33+P34+P35</f>
        <v>1390.77</v>
      </c>
      <c r="Q30" s="100">
        <f t="shared" si="20"/>
        <v>1450.49</v>
      </c>
      <c r="R30" s="100">
        <f t="shared" si="20"/>
        <v>1822.99</v>
      </c>
      <c r="S30" s="100">
        <f t="shared" si="20"/>
        <v>4135.8500000000004</v>
      </c>
      <c r="T30" s="100">
        <f t="shared" si="20"/>
        <v>3228.21</v>
      </c>
      <c r="U30" s="100">
        <f t="shared" si="20"/>
        <v>2175.38</v>
      </c>
      <c r="V30" s="100">
        <f t="shared" si="20"/>
        <v>960.05</v>
      </c>
      <c r="W30" s="100">
        <f t="shared" si="20"/>
        <v>2116.27</v>
      </c>
      <c r="X30" s="100">
        <f t="shared" si="20"/>
        <v>853.74</v>
      </c>
      <c r="Y30" s="100">
        <f t="shared" si="20"/>
        <v>909.65700000000004</v>
      </c>
      <c r="Z30" s="100">
        <f t="shared" si="20"/>
        <v>908.18</v>
      </c>
      <c r="AA30" s="101">
        <f t="shared" si="3"/>
        <v>22617.927000000003</v>
      </c>
      <c r="AB30" s="100">
        <f>AB31+AB32+AB34+AB33+AB35</f>
        <v>449.71</v>
      </c>
      <c r="AC30" s="100">
        <f t="shared" ref="AC30:AM30" si="21">AC31+AC32+AC34+AC33+AC35</f>
        <v>538.39</v>
      </c>
      <c r="AD30" s="100">
        <f t="shared" si="21"/>
        <v>883.70999999999992</v>
      </c>
      <c r="AE30" s="100">
        <f t="shared" si="21"/>
        <v>644.5</v>
      </c>
      <c r="AF30" s="100">
        <f t="shared" si="21"/>
        <v>810.45</v>
      </c>
      <c r="AG30" s="100">
        <f t="shared" si="21"/>
        <v>0</v>
      </c>
      <c r="AH30" s="100">
        <f t="shared" si="21"/>
        <v>0</v>
      </c>
      <c r="AI30" s="100">
        <f t="shared" si="21"/>
        <v>0</v>
      </c>
      <c r="AJ30" s="100">
        <f t="shared" si="21"/>
        <v>0</v>
      </c>
      <c r="AK30" s="100">
        <f t="shared" si="21"/>
        <v>0</v>
      </c>
      <c r="AL30" s="100">
        <f t="shared" si="21"/>
        <v>0</v>
      </c>
      <c r="AM30" s="100">
        <f t="shared" si="21"/>
        <v>0</v>
      </c>
      <c r="AN30" s="101">
        <f t="shared" si="16"/>
        <v>3326.76</v>
      </c>
    </row>
    <row r="31" spans="1:40" hidden="1" outlineLevel="1">
      <c r="A31" s="33" t="s">
        <v>47</v>
      </c>
      <c r="B31" s="68"/>
      <c r="C31" s="68"/>
      <c r="D31" s="68"/>
      <c r="E31" s="68"/>
      <c r="F31" s="68"/>
      <c r="G31" s="68"/>
      <c r="H31" s="68">
        <v>1974.08</v>
      </c>
      <c r="I31" s="68">
        <v>641.15</v>
      </c>
      <c r="J31" s="68">
        <v>376.35</v>
      </c>
      <c r="K31" s="68">
        <v>305.04000000000002</v>
      </c>
      <c r="L31" s="68">
        <v>351.89</v>
      </c>
      <c r="M31" s="69">
        <v>755.75</v>
      </c>
      <c r="N31" s="102">
        <f t="shared" si="1"/>
        <v>4404.26</v>
      </c>
      <c r="O31" s="68">
        <v>101.65</v>
      </c>
      <c r="P31" s="68">
        <v>197.71</v>
      </c>
      <c r="Q31" s="68">
        <v>270.27</v>
      </c>
      <c r="R31" s="68">
        <v>149.79</v>
      </c>
      <c r="S31" s="68">
        <v>102.39</v>
      </c>
      <c r="T31" s="68">
        <v>107.75</v>
      </c>
      <c r="U31" s="68">
        <v>120.19</v>
      </c>
      <c r="V31" s="68">
        <v>53.66</v>
      </c>
      <c r="W31" s="68">
        <v>77.75</v>
      </c>
      <c r="X31" s="68">
        <v>67.290000000000006</v>
      </c>
      <c r="Y31" s="68">
        <v>88.07</v>
      </c>
      <c r="Z31" s="69">
        <v>124.95</v>
      </c>
      <c r="AA31" s="102">
        <f t="shared" si="3"/>
        <v>1461.47</v>
      </c>
      <c r="AB31" s="68">
        <v>32.24</v>
      </c>
      <c r="AC31" s="68">
        <v>17.350000000000001</v>
      </c>
      <c r="AD31" s="68">
        <v>9.8000000000000007</v>
      </c>
      <c r="AE31" s="68">
        <v>3.82</v>
      </c>
      <c r="AF31" s="68">
        <v>0.85</v>
      </c>
      <c r="AG31" s="68"/>
      <c r="AH31" s="68"/>
      <c r="AI31" s="68"/>
      <c r="AJ31" s="68"/>
      <c r="AK31" s="68"/>
      <c r="AL31" s="68"/>
      <c r="AM31" s="69"/>
      <c r="AN31" s="102">
        <f t="shared" si="16"/>
        <v>64.06</v>
      </c>
    </row>
    <row r="32" spans="1:40" hidden="1" outlineLevel="1">
      <c r="A32" s="33" t="s">
        <v>48</v>
      </c>
      <c r="B32" s="68"/>
      <c r="C32" s="68"/>
      <c r="D32" s="68"/>
      <c r="E32" s="68"/>
      <c r="F32" s="68"/>
      <c r="G32" s="68"/>
      <c r="H32" s="68">
        <v>768.37</v>
      </c>
      <c r="I32" s="68">
        <v>2611.08</v>
      </c>
      <c r="J32" s="68">
        <v>2211.63</v>
      </c>
      <c r="K32" s="68">
        <v>5164.62</v>
      </c>
      <c r="L32" s="68">
        <v>5856.26</v>
      </c>
      <c r="M32" s="68">
        <v>5660.62</v>
      </c>
      <c r="N32" s="106">
        <f t="shared" si="1"/>
        <v>22272.579999999998</v>
      </c>
      <c r="O32" s="68">
        <v>1381.94</v>
      </c>
      <c r="P32" s="68">
        <v>651.41</v>
      </c>
      <c r="Q32" s="68">
        <v>794.53</v>
      </c>
      <c r="R32" s="68">
        <v>702.63</v>
      </c>
      <c r="S32" s="68">
        <v>2627.65</v>
      </c>
      <c r="T32" s="68">
        <v>2102.1999999999998</v>
      </c>
      <c r="U32" s="68">
        <v>1477.33</v>
      </c>
      <c r="V32" s="68">
        <v>173.04</v>
      </c>
      <c r="W32" s="68">
        <v>1192.54</v>
      </c>
      <c r="X32" s="68">
        <v>482.59</v>
      </c>
      <c r="Y32" s="68">
        <v>215.94</v>
      </c>
      <c r="Z32" s="68">
        <v>395.12</v>
      </c>
      <c r="AA32" s="106">
        <f t="shared" si="3"/>
        <v>12196.920000000002</v>
      </c>
      <c r="AB32" s="68">
        <v>234.5</v>
      </c>
      <c r="AC32" s="68">
        <v>238.37</v>
      </c>
      <c r="AD32" s="68">
        <v>597.28</v>
      </c>
      <c r="AE32" s="68">
        <v>364</v>
      </c>
      <c r="AF32" s="68">
        <v>700</v>
      </c>
      <c r="AG32" s="68"/>
      <c r="AH32" s="68"/>
      <c r="AI32" s="68"/>
      <c r="AJ32" s="68"/>
      <c r="AK32" s="68"/>
      <c r="AL32" s="68"/>
      <c r="AM32" s="68"/>
      <c r="AN32" s="106">
        <f t="shared" si="16"/>
        <v>2134.15</v>
      </c>
    </row>
    <row r="33" spans="1:40" hidden="1" outlineLevel="1">
      <c r="A33" s="33" t="s">
        <v>49</v>
      </c>
      <c r="B33" s="68"/>
      <c r="C33" s="68"/>
      <c r="D33" s="68"/>
      <c r="E33" s="68"/>
      <c r="F33" s="68"/>
      <c r="G33" s="68"/>
      <c r="H33" s="68">
        <v>9.14</v>
      </c>
      <c r="I33" s="68">
        <v>85.95</v>
      </c>
      <c r="J33" s="68">
        <v>6.1</v>
      </c>
      <c r="K33" s="68">
        <v>1.22</v>
      </c>
      <c r="L33" s="68">
        <v>0.62</v>
      </c>
      <c r="M33" s="68">
        <v>0.27</v>
      </c>
      <c r="N33" s="106">
        <f t="shared" si="1"/>
        <v>103.3</v>
      </c>
      <c r="O33" s="68">
        <v>7.0000000000000007E-2</v>
      </c>
      <c r="P33" s="68">
        <v>0.11</v>
      </c>
      <c r="Q33" s="68">
        <v>0.23</v>
      </c>
      <c r="R33" s="68">
        <v>0.1</v>
      </c>
      <c r="S33" s="68">
        <v>0.05</v>
      </c>
      <c r="T33" s="68">
        <v>0.28000000000000003</v>
      </c>
      <c r="U33" s="68">
        <v>0.22</v>
      </c>
      <c r="V33" s="68">
        <v>0.02</v>
      </c>
      <c r="W33" s="68">
        <v>0</v>
      </c>
      <c r="X33" s="68"/>
      <c r="Y33" s="68"/>
      <c r="Z33" s="68"/>
      <c r="AA33" s="106">
        <f t="shared" si="3"/>
        <v>1.08</v>
      </c>
      <c r="AB33" s="68">
        <v>0</v>
      </c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106">
        <f t="shared" si="16"/>
        <v>0</v>
      </c>
    </row>
    <row r="34" spans="1:40" hidden="1" outlineLevel="1">
      <c r="A34" s="33" t="s">
        <v>64</v>
      </c>
      <c r="B34" s="68"/>
      <c r="C34" s="68"/>
      <c r="D34" s="68"/>
      <c r="E34" s="68"/>
      <c r="F34" s="68"/>
      <c r="G34" s="68"/>
      <c r="H34" s="68"/>
      <c r="I34" s="68"/>
      <c r="J34" s="68">
        <v>1.58</v>
      </c>
      <c r="K34" s="68">
        <v>2.99</v>
      </c>
      <c r="L34" s="68">
        <v>52.14</v>
      </c>
      <c r="M34" s="79">
        <v>737.2</v>
      </c>
      <c r="N34" s="107">
        <f t="shared" si="1"/>
        <v>793.91000000000008</v>
      </c>
      <c r="O34" s="68">
        <v>942.62</v>
      </c>
      <c r="P34" s="68">
        <v>327.98</v>
      </c>
      <c r="Q34" s="68">
        <v>225.91</v>
      </c>
      <c r="R34" s="68">
        <v>490.01</v>
      </c>
      <c r="S34" s="68">
        <v>1046.04</v>
      </c>
      <c r="T34" s="68">
        <v>715.21</v>
      </c>
      <c r="U34" s="68">
        <v>385.46</v>
      </c>
      <c r="V34" s="68">
        <v>281.33</v>
      </c>
      <c r="W34" s="68">
        <v>285.64</v>
      </c>
      <c r="X34" s="68">
        <v>202.34</v>
      </c>
      <c r="Y34" s="68">
        <v>357.67700000000002</v>
      </c>
      <c r="Z34" s="79">
        <v>350.93</v>
      </c>
      <c r="AA34" s="107">
        <f t="shared" si="3"/>
        <v>5611.1469999999999</v>
      </c>
      <c r="AB34" s="68">
        <v>181.57</v>
      </c>
      <c r="AC34" s="68">
        <v>282.08999999999997</v>
      </c>
      <c r="AD34" s="68">
        <v>276.04000000000002</v>
      </c>
      <c r="AE34" s="68">
        <v>275.72000000000003</v>
      </c>
      <c r="AF34" s="68">
        <v>108</v>
      </c>
      <c r="AG34" s="68"/>
      <c r="AH34" s="68"/>
      <c r="AI34" s="68"/>
      <c r="AJ34" s="68"/>
      <c r="AK34" s="68"/>
      <c r="AL34" s="68"/>
      <c r="AM34" s="79"/>
      <c r="AN34" s="107">
        <f t="shared" si="16"/>
        <v>1123.42</v>
      </c>
    </row>
    <row r="35" spans="1:40" hidden="1" outlineLevel="1">
      <c r="A35" s="33" t="s">
        <v>65</v>
      </c>
      <c r="B35" s="68"/>
      <c r="C35" s="68"/>
      <c r="D35" s="68"/>
      <c r="E35" s="68"/>
      <c r="F35" s="68"/>
      <c r="G35" s="68"/>
      <c r="H35" s="68"/>
      <c r="I35" s="68"/>
      <c r="J35" s="68">
        <v>7.4</v>
      </c>
      <c r="K35" s="68">
        <v>32.43</v>
      </c>
      <c r="L35" s="68">
        <v>106.66</v>
      </c>
      <c r="M35" s="68">
        <v>165.64</v>
      </c>
      <c r="N35" s="106">
        <f t="shared" si="1"/>
        <v>312.13</v>
      </c>
      <c r="O35" s="68">
        <v>240.06</v>
      </c>
      <c r="P35" s="68">
        <v>213.56</v>
      </c>
      <c r="Q35" s="68">
        <v>159.55000000000001</v>
      </c>
      <c r="R35" s="68">
        <v>480.46</v>
      </c>
      <c r="S35" s="68">
        <v>359.72</v>
      </c>
      <c r="T35" s="68">
        <v>302.77</v>
      </c>
      <c r="U35" s="68">
        <v>192.18</v>
      </c>
      <c r="V35" s="68">
        <v>452</v>
      </c>
      <c r="W35" s="68">
        <v>560.34</v>
      </c>
      <c r="X35" s="68">
        <v>101.52</v>
      </c>
      <c r="Y35" s="68">
        <v>247.97</v>
      </c>
      <c r="Z35" s="68">
        <v>37.18</v>
      </c>
      <c r="AA35" s="106">
        <f t="shared" si="3"/>
        <v>3347.31</v>
      </c>
      <c r="AB35" s="68">
        <v>1.4</v>
      </c>
      <c r="AC35" s="68">
        <v>0.57999999999999996</v>
      </c>
      <c r="AD35" s="68">
        <v>0.59</v>
      </c>
      <c r="AE35" s="68">
        <v>0.96</v>
      </c>
      <c r="AF35" s="68">
        <v>1.6</v>
      </c>
      <c r="AG35" s="68"/>
      <c r="AH35" s="68"/>
      <c r="AI35" s="68"/>
      <c r="AJ35" s="68"/>
      <c r="AK35" s="68"/>
      <c r="AL35" s="68"/>
      <c r="AM35" s="68"/>
      <c r="AN35" s="106">
        <f t="shared" si="16"/>
        <v>5.13</v>
      </c>
    </row>
    <row r="36" spans="1:40">
      <c r="A36" s="37" t="s">
        <v>110</v>
      </c>
      <c r="B36" s="68">
        <f>B37+B40+B38+B39</f>
        <v>29013.918918918916</v>
      </c>
      <c r="C36" s="68">
        <f t="shared" ref="C36:M36" si="22">C37+C40+C38+C39</f>
        <v>28815.63636363636</v>
      </c>
      <c r="D36" s="68">
        <f t="shared" si="22"/>
        <v>28261.738738738739</v>
      </c>
      <c r="E36" s="68">
        <f t="shared" si="22"/>
        <v>30300</v>
      </c>
      <c r="F36" s="68">
        <f t="shared" si="22"/>
        <v>30177</v>
      </c>
      <c r="G36" s="68">
        <f t="shared" si="22"/>
        <v>15953</v>
      </c>
      <c r="H36" s="68">
        <f t="shared" si="22"/>
        <v>16228</v>
      </c>
      <c r="I36" s="68">
        <f t="shared" si="22"/>
        <v>15422.39</v>
      </c>
      <c r="J36" s="68">
        <f t="shared" si="22"/>
        <v>18038.7</v>
      </c>
      <c r="K36" s="68">
        <f t="shared" si="22"/>
        <v>15343.1</v>
      </c>
      <c r="L36" s="68">
        <f t="shared" si="22"/>
        <v>14905.61</v>
      </c>
      <c r="M36" s="68">
        <f t="shared" si="22"/>
        <v>15898.420000000002</v>
      </c>
      <c r="N36" s="106">
        <f t="shared" si="1"/>
        <v>258357.51402129405</v>
      </c>
      <c r="O36" s="68">
        <f>O37+O40+O38+O39</f>
        <v>14965.14</v>
      </c>
      <c r="P36" s="68">
        <f t="shared" ref="P36:Z36" si="23">P37+P40+P38+P39</f>
        <v>14447.75</v>
      </c>
      <c r="Q36" s="68">
        <f t="shared" si="23"/>
        <v>14056.22</v>
      </c>
      <c r="R36" s="68">
        <f t="shared" si="23"/>
        <v>13957.160000000002</v>
      </c>
      <c r="S36" s="68">
        <f t="shared" si="23"/>
        <v>14465.21</v>
      </c>
      <c r="T36" s="68">
        <f t="shared" si="23"/>
        <v>14037.980000000001</v>
      </c>
      <c r="U36" s="68">
        <f t="shared" si="23"/>
        <v>13333</v>
      </c>
      <c r="V36" s="68">
        <f t="shared" si="23"/>
        <v>13333</v>
      </c>
      <c r="W36" s="68">
        <f t="shared" si="23"/>
        <v>14275.890000000001</v>
      </c>
      <c r="X36" s="68">
        <f t="shared" si="23"/>
        <v>13775</v>
      </c>
      <c r="Y36" s="68">
        <f t="shared" si="23"/>
        <v>14273</v>
      </c>
      <c r="Z36" s="68">
        <f t="shared" si="23"/>
        <v>14588</v>
      </c>
      <c r="AA36" s="106">
        <f t="shared" si="3"/>
        <v>169507.35</v>
      </c>
      <c r="AB36" s="68">
        <f>AB37+AB38+AB39+AB40</f>
        <v>13529.39</v>
      </c>
      <c r="AC36" s="68">
        <f t="shared" ref="AC36:AM36" si="24">AC37+AC38+AC39+AC40</f>
        <v>13657.699999999999</v>
      </c>
      <c r="AD36" s="68">
        <f t="shared" si="24"/>
        <v>13476.35</v>
      </c>
      <c r="AE36" s="68">
        <f t="shared" si="24"/>
        <v>13529.44</v>
      </c>
      <c r="AF36" s="68">
        <f t="shared" si="24"/>
        <v>13509.79</v>
      </c>
      <c r="AG36" s="68">
        <f t="shared" si="24"/>
        <v>89.85</v>
      </c>
      <c r="AH36" s="68">
        <f t="shared" si="24"/>
        <v>0.59</v>
      </c>
      <c r="AI36" s="68">
        <f t="shared" si="24"/>
        <v>1.59</v>
      </c>
      <c r="AJ36" s="68">
        <f t="shared" si="24"/>
        <v>0</v>
      </c>
      <c r="AK36" s="68">
        <f t="shared" si="24"/>
        <v>0</v>
      </c>
      <c r="AL36" s="68">
        <f t="shared" si="24"/>
        <v>0</v>
      </c>
      <c r="AM36" s="68">
        <f t="shared" si="24"/>
        <v>0</v>
      </c>
      <c r="AN36" s="106">
        <f t="shared" si="16"/>
        <v>67794.7</v>
      </c>
    </row>
    <row r="37" spans="1:40" outlineLevel="1">
      <c r="A37" s="37" t="s">
        <v>95</v>
      </c>
      <c r="B37" s="68">
        <v>27895</v>
      </c>
      <c r="C37" s="68">
        <v>28112</v>
      </c>
      <c r="D37" s="68">
        <v>27923</v>
      </c>
      <c r="E37" s="68">
        <v>29952</v>
      </c>
      <c r="F37" s="68">
        <v>29733</v>
      </c>
      <c r="G37" s="68">
        <v>13305</v>
      </c>
      <c r="H37" s="68">
        <v>13100</v>
      </c>
      <c r="I37" s="68">
        <v>13333</v>
      </c>
      <c r="J37" s="68">
        <v>13333</v>
      </c>
      <c r="K37" s="68">
        <v>13333</v>
      </c>
      <c r="L37" s="68">
        <v>13333</v>
      </c>
      <c r="M37" s="68">
        <v>13333</v>
      </c>
      <c r="N37" s="106">
        <f t="shared" si="1"/>
        <v>236685</v>
      </c>
      <c r="O37" s="68">
        <v>13333</v>
      </c>
      <c r="P37" s="68">
        <v>13333</v>
      </c>
      <c r="Q37" s="68">
        <v>13333</v>
      </c>
      <c r="R37" s="68">
        <v>13333</v>
      </c>
      <c r="S37" s="68">
        <v>13333</v>
      </c>
      <c r="T37" s="68">
        <v>13333</v>
      </c>
      <c r="U37" s="68">
        <v>13333</v>
      </c>
      <c r="V37" s="68">
        <v>13333</v>
      </c>
      <c r="W37" s="68">
        <v>13333</v>
      </c>
      <c r="X37" s="68">
        <v>13333</v>
      </c>
      <c r="Y37" s="68">
        <v>13333</v>
      </c>
      <c r="Z37" s="68">
        <v>13333</v>
      </c>
      <c r="AA37" s="106">
        <f t="shared" si="3"/>
        <v>159996</v>
      </c>
      <c r="AB37" s="68">
        <v>13333</v>
      </c>
      <c r="AC37" s="68">
        <v>13333</v>
      </c>
      <c r="AD37" s="68">
        <v>13333</v>
      </c>
      <c r="AE37" s="68">
        <v>13333</v>
      </c>
      <c r="AF37" s="68">
        <v>13333</v>
      </c>
      <c r="AG37" s="68"/>
      <c r="AH37" s="68"/>
      <c r="AI37" s="68"/>
      <c r="AJ37" s="68"/>
      <c r="AK37" s="68"/>
      <c r="AL37" s="68"/>
      <c r="AM37" s="68"/>
      <c r="AN37" s="106">
        <f t="shared" si="16"/>
        <v>66665</v>
      </c>
    </row>
    <row r="38" spans="1:40" outlineLevel="1">
      <c r="A38" s="38" t="s">
        <v>96</v>
      </c>
      <c r="B38" s="68">
        <v>847.74774774774767</v>
      </c>
      <c r="C38" s="68">
        <v>509.09090909090907</v>
      </c>
      <c r="D38" s="68">
        <v>218.01801801801801</v>
      </c>
      <c r="E38" s="68">
        <v>203</v>
      </c>
      <c r="F38" s="68">
        <v>241</v>
      </c>
      <c r="G38" s="68">
        <v>1031</v>
      </c>
      <c r="H38" s="68">
        <v>1822</v>
      </c>
      <c r="I38" s="68">
        <v>1072.56</v>
      </c>
      <c r="J38" s="68">
        <v>2559.67</v>
      </c>
      <c r="K38" s="68">
        <v>1392.6999999999998</v>
      </c>
      <c r="L38" s="68">
        <v>1110.1099999999999</v>
      </c>
      <c r="M38" s="68">
        <v>2132.9499999999998</v>
      </c>
      <c r="N38" s="106">
        <f t="shared" ref="N38:N54" si="25">SUM(B38:M38)</f>
        <v>13139.846674856675</v>
      </c>
      <c r="O38" s="68">
        <v>1291.97</v>
      </c>
      <c r="P38" s="68">
        <v>930.39</v>
      </c>
      <c r="Q38" s="68">
        <v>604.39</v>
      </c>
      <c r="R38" s="68">
        <v>595.33000000000004</v>
      </c>
      <c r="S38" s="68">
        <f>985.6+99.06</f>
        <v>1084.6600000000001</v>
      </c>
      <c r="T38" s="68">
        <v>643.52</v>
      </c>
      <c r="U38" s="68"/>
      <c r="V38" s="68"/>
      <c r="W38" s="68">
        <v>908.84</v>
      </c>
      <c r="X38" s="68">
        <v>415</v>
      </c>
      <c r="Y38" s="68">
        <v>905</v>
      </c>
      <c r="Z38" s="68">
        <v>1200</v>
      </c>
      <c r="AA38" s="106">
        <f t="shared" ref="AA38:AA54" si="26">SUM(O38:Z38)</f>
        <v>8579.1</v>
      </c>
      <c r="AB38" s="68">
        <v>179.65</v>
      </c>
      <c r="AC38" s="68">
        <v>313.16000000000003</v>
      </c>
      <c r="AD38" s="68">
        <v>135.82</v>
      </c>
      <c r="AE38" s="68">
        <v>192.83</v>
      </c>
      <c r="AF38" s="68">
        <v>175</v>
      </c>
      <c r="AG38" s="68">
        <v>89.85</v>
      </c>
      <c r="AH38" s="68">
        <v>0.59</v>
      </c>
      <c r="AI38" s="68">
        <v>1.59</v>
      </c>
      <c r="AJ38" s="68"/>
      <c r="AK38" s="68"/>
      <c r="AL38" s="68"/>
      <c r="AM38" s="68"/>
      <c r="AN38" s="106">
        <f t="shared" ref="AN38:AN54" si="27">SUM(AB38:AM38)</f>
        <v>1088.49</v>
      </c>
    </row>
    <row r="39" spans="1:40" outlineLevel="1">
      <c r="A39" s="38" t="s">
        <v>97</v>
      </c>
      <c r="B39" s="68">
        <v>201.80180180180179</v>
      </c>
      <c r="C39" s="68">
        <v>162.72727272727272</v>
      </c>
      <c r="D39" s="68">
        <v>94.594594594594582</v>
      </c>
      <c r="E39" s="68">
        <v>65</v>
      </c>
      <c r="F39" s="68">
        <v>133</v>
      </c>
      <c r="G39" s="68">
        <v>1570</v>
      </c>
      <c r="H39" s="68">
        <v>1299</v>
      </c>
      <c r="I39" s="68">
        <v>1012.35</v>
      </c>
      <c r="J39" s="68">
        <v>2126.65</v>
      </c>
      <c r="K39" s="68">
        <v>609.40000000000009</v>
      </c>
      <c r="L39" s="68">
        <v>453.97</v>
      </c>
      <c r="M39" s="68">
        <v>429.54</v>
      </c>
      <c r="N39" s="106">
        <f t="shared" si="25"/>
        <v>8158.0336691236698</v>
      </c>
      <c r="O39" s="68">
        <v>325.31</v>
      </c>
      <c r="P39" s="68">
        <v>172</v>
      </c>
      <c r="Q39" s="68">
        <v>113.92</v>
      </c>
      <c r="R39" s="68">
        <v>21.79</v>
      </c>
      <c r="S39" s="68">
        <v>44.73</v>
      </c>
      <c r="T39" s="68">
        <v>59.59</v>
      </c>
      <c r="U39" s="68"/>
      <c r="V39" s="68"/>
      <c r="W39" s="68">
        <v>31.86</v>
      </c>
      <c r="X39" s="68">
        <v>24</v>
      </c>
      <c r="Y39" s="68">
        <v>33</v>
      </c>
      <c r="Z39" s="68">
        <v>50</v>
      </c>
      <c r="AA39" s="106">
        <f t="shared" si="26"/>
        <v>876.2</v>
      </c>
      <c r="AB39" s="68">
        <v>15.53</v>
      </c>
      <c r="AC39" s="68">
        <v>9.6300000000000008</v>
      </c>
      <c r="AD39" s="68">
        <v>6.35</v>
      </c>
      <c r="AE39" s="68">
        <v>2.99</v>
      </c>
      <c r="AF39" s="68">
        <v>1.77</v>
      </c>
      <c r="AG39" s="68">
        <v>0</v>
      </c>
      <c r="AH39" s="68">
        <v>0</v>
      </c>
      <c r="AI39" s="68">
        <v>0</v>
      </c>
      <c r="AJ39" s="68"/>
      <c r="AK39" s="68"/>
      <c r="AL39" s="68"/>
      <c r="AM39" s="68"/>
      <c r="AN39" s="106">
        <f t="shared" si="27"/>
        <v>36.270000000000003</v>
      </c>
    </row>
    <row r="40" spans="1:40" outlineLevel="1">
      <c r="A40" s="38" t="s">
        <v>98</v>
      </c>
      <c r="B40" s="68">
        <v>69.369369369369366</v>
      </c>
      <c r="C40" s="68">
        <v>31.818181818181817</v>
      </c>
      <c r="D40" s="68">
        <v>26.126126126126124</v>
      </c>
      <c r="E40" s="68">
        <v>80</v>
      </c>
      <c r="F40" s="68">
        <v>70</v>
      </c>
      <c r="G40" s="68">
        <v>47</v>
      </c>
      <c r="H40" s="68">
        <v>7</v>
      </c>
      <c r="I40" s="68">
        <v>4.4800000000000004</v>
      </c>
      <c r="J40" s="68">
        <v>19.38</v>
      </c>
      <c r="K40" s="68">
        <v>8</v>
      </c>
      <c r="L40" s="68">
        <v>8.5299999999999994</v>
      </c>
      <c r="M40" s="68">
        <v>2.93</v>
      </c>
      <c r="N40" s="106">
        <f t="shared" si="25"/>
        <v>374.63367731367731</v>
      </c>
      <c r="O40" s="68">
        <v>14.86</v>
      </c>
      <c r="P40" s="68">
        <v>12.36</v>
      </c>
      <c r="Q40" s="68">
        <v>4.91</v>
      </c>
      <c r="R40" s="68">
        <v>7.04</v>
      </c>
      <c r="S40" s="68">
        <v>2.82</v>
      </c>
      <c r="T40" s="68">
        <v>1.87</v>
      </c>
      <c r="U40" s="68"/>
      <c r="V40" s="68"/>
      <c r="W40" s="68">
        <v>2.19</v>
      </c>
      <c r="X40" s="68">
        <v>3</v>
      </c>
      <c r="Y40" s="68">
        <v>2</v>
      </c>
      <c r="Z40" s="68">
        <v>5</v>
      </c>
      <c r="AA40" s="106">
        <f t="shared" si="26"/>
        <v>56.04999999999999</v>
      </c>
      <c r="AB40" s="68">
        <v>1.21</v>
      </c>
      <c r="AC40" s="68">
        <v>1.91</v>
      </c>
      <c r="AD40" s="68">
        <v>1.18</v>
      </c>
      <c r="AE40" s="68">
        <v>0.62</v>
      </c>
      <c r="AF40" s="68">
        <v>0.02</v>
      </c>
      <c r="AG40" s="68">
        <v>0</v>
      </c>
      <c r="AH40" s="68">
        <v>0</v>
      </c>
      <c r="AI40" s="68">
        <v>0</v>
      </c>
      <c r="AJ40" s="68"/>
      <c r="AK40" s="68"/>
      <c r="AL40" s="68"/>
      <c r="AM40" s="68"/>
      <c r="AN40" s="106">
        <f t="shared" si="27"/>
        <v>4.9399999999999995</v>
      </c>
    </row>
    <row r="41" spans="1:40" collapsed="1">
      <c r="A41" s="67" t="s">
        <v>99</v>
      </c>
      <c r="B41" s="139">
        <f>+B42+B43+B44</f>
        <v>2885</v>
      </c>
      <c r="C41" s="139">
        <f t="shared" ref="C41:L41" si="28">+C42+C43+C44</f>
        <v>5850.5357142857138</v>
      </c>
      <c r="D41" s="139">
        <f t="shared" si="28"/>
        <v>6343.75</v>
      </c>
      <c r="E41" s="139">
        <f t="shared" si="28"/>
        <v>7510</v>
      </c>
      <c r="F41" s="139">
        <f t="shared" si="28"/>
        <v>9314</v>
      </c>
      <c r="G41" s="139">
        <f t="shared" si="28"/>
        <v>7814</v>
      </c>
      <c r="H41" s="139">
        <f t="shared" si="28"/>
        <v>8169</v>
      </c>
      <c r="I41" s="139">
        <f t="shared" si="28"/>
        <v>6354.54</v>
      </c>
      <c r="J41" s="139">
        <f t="shared" si="28"/>
        <v>12760</v>
      </c>
      <c r="K41" s="139">
        <f t="shared" si="28"/>
        <v>7535</v>
      </c>
      <c r="L41" s="139">
        <f t="shared" si="28"/>
        <v>8495.15</v>
      </c>
      <c r="M41" s="139">
        <v>7971.77</v>
      </c>
      <c r="N41" s="142">
        <f t="shared" si="25"/>
        <v>91002.745714285717</v>
      </c>
      <c r="O41" s="139">
        <f>+O42+O43+O44</f>
        <v>6093.1900000000005</v>
      </c>
      <c r="P41" s="139">
        <v>5561.81</v>
      </c>
      <c r="Q41" s="139">
        <f t="shared" ref="Q41:Z41" si="29">+Q42+Q43+Q44</f>
        <v>8917.91</v>
      </c>
      <c r="R41" s="139">
        <f t="shared" si="29"/>
        <v>7728</v>
      </c>
      <c r="S41" s="139">
        <f t="shared" si="29"/>
        <v>8258.25</v>
      </c>
      <c r="T41" s="139">
        <f t="shared" si="29"/>
        <v>5584.35</v>
      </c>
      <c r="U41" s="139">
        <f t="shared" si="29"/>
        <v>3866</v>
      </c>
      <c r="V41" s="139">
        <f t="shared" si="29"/>
        <v>4528.5</v>
      </c>
      <c r="W41" s="139">
        <f t="shared" si="29"/>
        <v>3892.97</v>
      </c>
      <c r="X41" s="139">
        <f t="shared" si="29"/>
        <v>4855.3500000000004</v>
      </c>
      <c r="Y41" s="139">
        <f t="shared" si="29"/>
        <v>6587.05</v>
      </c>
      <c r="Z41" s="139">
        <f t="shared" si="29"/>
        <v>3970.98</v>
      </c>
      <c r="AA41" s="142">
        <f t="shared" si="26"/>
        <v>69844.36</v>
      </c>
      <c r="AB41" s="139">
        <f>AB42+AB43+AB44</f>
        <v>4291</v>
      </c>
      <c r="AC41" s="139">
        <f t="shared" ref="AC41:AM41" si="30">AC42+AC43+AC44</f>
        <v>3810</v>
      </c>
      <c r="AD41" s="139">
        <f t="shared" si="30"/>
        <v>4219</v>
      </c>
      <c r="AE41" s="139">
        <f t="shared" si="30"/>
        <v>3533</v>
      </c>
      <c r="AF41" s="139">
        <f t="shared" si="30"/>
        <v>3268</v>
      </c>
      <c r="AG41" s="139">
        <f t="shared" si="30"/>
        <v>0</v>
      </c>
      <c r="AH41" s="139">
        <f t="shared" si="30"/>
        <v>0</v>
      </c>
      <c r="AI41" s="139">
        <f t="shared" si="30"/>
        <v>0</v>
      </c>
      <c r="AJ41" s="139">
        <f t="shared" si="30"/>
        <v>0</v>
      </c>
      <c r="AK41" s="139">
        <f t="shared" si="30"/>
        <v>0</v>
      </c>
      <c r="AL41" s="139">
        <f t="shared" si="30"/>
        <v>0</v>
      </c>
      <c r="AM41" s="139">
        <f t="shared" si="30"/>
        <v>0</v>
      </c>
      <c r="AN41" s="142">
        <f t="shared" si="27"/>
        <v>19121</v>
      </c>
    </row>
    <row r="42" spans="1:40" hidden="1" outlineLevel="1">
      <c r="A42" s="37" t="s">
        <v>100</v>
      </c>
      <c r="B42" s="55">
        <v>2750</v>
      </c>
      <c r="C42" s="55">
        <v>5505</v>
      </c>
      <c r="D42" s="55">
        <v>6200</v>
      </c>
      <c r="E42" s="55">
        <v>7438</v>
      </c>
      <c r="F42" s="55">
        <v>9263</v>
      </c>
      <c r="G42" s="55">
        <v>7761</v>
      </c>
      <c r="H42" s="55">
        <v>8165</v>
      </c>
      <c r="I42" s="55">
        <v>6202</v>
      </c>
      <c r="J42" s="55">
        <v>12360</v>
      </c>
      <c r="K42" s="55">
        <v>7150</v>
      </c>
      <c r="L42" s="55">
        <v>8137.15</v>
      </c>
      <c r="M42" s="55">
        <v>7018.41</v>
      </c>
      <c r="N42" s="103">
        <f t="shared" si="25"/>
        <v>87949.56</v>
      </c>
      <c r="O42" s="55">
        <v>5935.02</v>
      </c>
      <c r="P42" s="55">
        <v>5475</v>
      </c>
      <c r="Q42" s="55">
        <v>8507.91</v>
      </c>
      <c r="R42" s="55">
        <f>2438+3827+1078+167+15+23</f>
        <v>7548</v>
      </c>
      <c r="S42" s="55">
        <v>8068.25</v>
      </c>
      <c r="T42" s="55">
        <v>5404.35</v>
      </c>
      <c r="U42" s="55">
        <v>3706</v>
      </c>
      <c r="V42" s="55">
        <v>4353.5</v>
      </c>
      <c r="W42" s="55">
        <v>3712.97</v>
      </c>
      <c r="X42" s="55">
        <v>4720.3500000000004</v>
      </c>
      <c r="Y42" s="55">
        <v>6392.05</v>
      </c>
      <c r="Z42" s="55">
        <v>3865.98</v>
      </c>
      <c r="AA42" s="103">
        <f t="shared" si="26"/>
        <v>67689.38</v>
      </c>
      <c r="AB42" s="55">
        <f>1746+2465</f>
        <v>4211</v>
      </c>
      <c r="AC42" s="55">
        <v>3760</v>
      </c>
      <c r="AD42" s="55">
        <f>2004+2208</f>
        <v>4212</v>
      </c>
      <c r="AE42" s="55">
        <f>1642+1863</f>
        <v>3505</v>
      </c>
      <c r="AF42" s="55">
        <f>1418+1816</f>
        <v>3234</v>
      </c>
      <c r="AG42" s="55"/>
      <c r="AH42" s="55"/>
      <c r="AI42" s="55"/>
      <c r="AJ42" s="55"/>
      <c r="AK42" s="55"/>
      <c r="AL42" s="55"/>
      <c r="AM42" s="55"/>
      <c r="AN42" s="103">
        <f t="shared" si="27"/>
        <v>18922</v>
      </c>
    </row>
    <row r="43" spans="1:40" hidden="1" outlineLevel="1">
      <c r="A43" s="37" t="s">
        <v>73</v>
      </c>
      <c r="B43" s="55">
        <v>130</v>
      </c>
      <c r="C43" s="55">
        <v>338.39285714285711</v>
      </c>
      <c r="D43" s="55">
        <v>136.60714285714283</v>
      </c>
      <c r="E43" s="55">
        <v>62</v>
      </c>
      <c r="F43" s="55">
        <v>42</v>
      </c>
      <c r="G43" s="55">
        <v>43</v>
      </c>
      <c r="H43" s="55">
        <v>3</v>
      </c>
      <c r="I43" s="55">
        <v>138.37</v>
      </c>
      <c r="J43" s="55">
        <v>300</v>
      </c>
      <c r="K43" s="55">
        <v>290</v>
      </c>
      <c r="L43" s="55">
        <v>297</v>
      </c>
      <c r="M43" s="55">
        <v>114.57</v>
      </c>
      <c r="N43" s="103">
        <f t="shared" si="25"/>
        <v>1894.9399999999998</v>
      </c>
      <c r="O43" s="55">
        <v>103.91</v>
      </c>
      <c r="P43" s="55">
        <v>70.95</v>
      </c>
      <c r="Q43" s="55">
        <v>320</v>
      </c>
      <c r="R43" s="55">
        <v>100</v>
      </c>
      <c r="S43" s="56">
        <v>100</v>
      </c>
      <c r="T43" s="55">
        <v>100</v>
      </c>
      <c r="U43" s="55">
        <v>80</v>
      </c>
      <c r="V43" s="55">
        <v>100</v>
      </c>
      <c r="W43" s="55">
        <v>80</v>
      </c>
      <c r="X43" s="56">
        <v>65</v>
      </c>
      <c r="Y43" s="55">
        <v>115</v>
      </c>
      <c r="Z43" s="55">
        <v>70</v>
      </c>
      <c r="AA43" s="103">
        <f t="shared" si="26"/>
        <v>1304.8600000000001</v>
      </c>
      <c r="AB43" s="55">
        <v>65</v>
      </c>
      <c r="AC43" s="55">
        <v>20</v>
      </c>
      <c r="AD43" s="55">
        <v>0</v>
      </c>
      <c r="AE43" s="55">
        <v>0</v>
      </c>
      <c r="AF43" s="56">
        <v>0</v>
      </c>
      <c r="AG43" s="55"/>
      <c r="AH43" s="55"/>
      <c r="AI43" s="55"/>
      <c r="AJ43" s="55"/>
      <c r="AK43" s="56"/>
      <c r="AL43" s="55"/>
      <c r="AM43" s="55"/>
      <c r="AN43" s="103">
        <f t="shared" si="27"/>
        <v>85</v>
      </c>
    </row>
    <row r="44" spans="1:40" hidden="1" outlineLevel="1">
      <c r="A44" s="37" t="s">
        <v>101</v>
      </c>
      <c r="B44" s="55">
        <v>5</v>
      </c>
      <c r="C44" s="55">
        <v>7.1428571428571423</v>
      </c>
      <c r="D44" s="55">
        <v>7.1428571428571423</v>
      </c>
      <c r="E44" s="55">
        <v>10</v>
      </c>
      <c r="F44" s="55">
        <v>9</v>
      </c>
      <c r="G44" s="55">
        <v>10</v>
      </c>
      <c r="H44" s="55">
        <v>1</v>
      </c>
      <c r="I44" s="55">
        <v>14.17</v>
      </c>
      <c r="J44" s="55">
        <v>100</v>
      </c>
      <c r="K44" s="55">
        <v>95</v>
      </c>
      <c r="L44" s="55">
        <v>61</v>
      </c>
      <c r="M44" s="55">
        <v>77.53</v>
      </c>
      <c r="N44" s="103">
        <f t="shared" si="25"/>
        <v>396.98571428571427</v>
      </c>
      <c r="O44" s="55">
        <v>54.26</v>
      </c>
      <c r="P44" s="55">
        <v>73</v>
      </c>
      <c r="Q44" s="55">
        <v>90</v>
      </c>
      <c r="R44" s="55">
        <v>80</v>
      </c>
      <c r="S44" s="56">
        <v>90</v>
      </c>
      <c r="T44" s="55">
        <v>80</v>
      </c>
      <c r="U44" s="55">
        <v>80</v>
      </c>
      <c r="V44" s="55">
        <v>75</v>
      </c>
      <c r="W44" s="55">
        <v>100</v>
      </c>
      <c r="X44" s="56">
        <v>70</v>
      </c>
      <c r="Y44" s="55">
        <v>80</v>
      </c>
      <c r="Z44" s="55">
        <v>35</v>
      </c>
      <c r="AA44" s="103">
        <f t="shared" si="26"/>
        <v>907.26</v>
      </c>
      <c r="AB44" s="55">
        <v>15</v>
      </c>
      <c r="AC44" s="55">
        <v>30</v>
      </c>
      <c r="AD44" s="55">
        <f>7</f>
        <v>7</v>
      </c>
      <c r="AE44" s="55">
        <v>28</v>
      </c>
      <c r="AF44" s="56">
        <f>26+8</f>
        <v>34</v>
      </c>
      <c r="AG44" s="55"/>
      <c r="AH44" s="55"/>
      <c r="AI44" s="55"/>
      <c r="AJ44" s="55"/>
      <c r="AK44" s="56"/>
      <c r="AL44" s="55"/>
      <c r="AM44" s="55"/>
      <c r="AN44" s="103">
        <f t="shared" si="27"/>
        <v>114</v>
      </c>
    </row>
    <row r="45" spans="1:40" collapsed="1">
      <c r="A45" s="37" t="s">
        <v>70</v>
      </c>
      <c r="B45" s="55">
        <v>3308</v>
      </c>
      <c r="C45" s="55">
        <v>375</v>
      </c>
      <c r="D45" s="55">
        <v>1530</v>
      </c>
      <c r="E45" s="55">
        <v>3623</v>
      </c>
      <c r="F45" s="55">
        <v>1713</v>
      </c>
      <c r="G45" s="55">
        <v>0</v>
      </c>
      <c r="H45" s="55">
        <v>900</v>
      </c>
      <c r="I45" s="55">
        <v>2700</v>
      </c>
      <c r="J45" s="55">
        <v>1600</v>
      </c>
      <c r="K45" s="55">
        <v>1950</v>
      </c>
      <c r="L45" s="55">
        <v>1150</v>
      </c>
      <c r="M45" s="55">
        <v>2100</v>
      </c>
      <c r="N45" s="103">
        <f t="shared" si="25"/>
        <v>20949</v>
      </c>
      <c r="O45" s="55">
        <v>1750</v>
      </c>
      <c r="P45" s="55">
        <v>1750</v>
      </c>
      <c r="Q45" s="55">
        <v>2400</v>
      </c>
      <c r="R45" s="55">
        <v>2900</v>
      </c>
      <c r="S45" s="55">
        <f>45*50</f>
        <v>2250</v>
      </c>
      <c r="T45" s="55">
        <v>1300</v>
      </c>
      <c r="U45" s="55">
        <v>1300</v>
      </c>
      <c r="V45" s="55">
        <v>2700</v>
      </c>
      <c r="W45" s="55">
        <v>4050</v>
      </c>
      <c r="X45" s="55">
        <v>2900</v>
      </c>
      <c r="Y45" s="55">
        <v>1790</v>
      </c>
      <c r="Z45" s="55">
        <v>1769</v>
      </c>
      <c r="AA45" s="103">
        <f t="shared" si="26"/>
        <v>26859</v>
      </c>
      <c r="AB45" s="55">
        <v>4500</v>
      </c>
      <c r="AC45" s="55">
        <v>3150</v>
      </c>
      <c r="AD45" s="55">
        <v>1700</v>
      </c>
      <c r="AE45" s="55">
        <v>1277</v>
      </c>
      <c r="AF45" s="55">
        <v>740.67</v>
      </c>
      <c r="AG45" s="55">
        <v>817.5</v>
      </c>
      <c r="AH45" s="55">
        <v>6217.5</v>
      </c>
      <c r="AI45" s="55">
        <v>2577.5</v>
      </c>
      <c r="AJ45" s="55"/>
      <c r="AK45" s="55"/>
      <c r="AL45" s="55"/>
      <c r="AM45" s="55"/>
      <c r="AN45" s="103">
        <f t="shared" si="27"/>
        <v>20980.17</v>
      </c>
    </row>
    <row r="46" spans="1:40" hidden="1" outlineLevel="1">
      <c r="A46" s="67" t="s">
        <v>71</v>
      </c>
      <c r="B46" s="139">
        <v>3030</v>
      </c>
      <c r="C46" s="139">
        <v>2560</v>
      </c>
      <c r="D46" s="139">
        <v>1442</v>
      </c>
      <c r="E46" s="139">
        <v>2667</v>
      </c>
      <c r="F46" s="139">
        <v>3343</v>
      </c>
      <c r="G46" s="139">
        <v>4100</v>
      </c>
      <c r="H46" s="139">
        <v>3559</v>
      </c>
      <c r="I46" s="139">
        <v>3906</v>
      </c>
      <c r="J46" s="139">
        <v>4606</v>
      </c>
      <c r="K46" s="139">
        <v>5898.86</v>
      </c>
      <c r="L46" s="139">
        <v>9662.5400000000009</v>
      </c>
      <c r="M46" s="139">
        <v>10887.6</v>
      </c>
      <c r="N46" s="142">
        <f t="shared" si="25"/>
        <v>55662</v>
      </c>
      <c r="O46" s="139">
        <v>1215.81</v>
      </c>
      <c r="P46" s="139">
        <v>15</v>
      </c>
      <c r="Q46" s="139">
        <v>39.43</v>
      </c>
      <c r="R46" s="66">
        <v>17.52</v>
      </c>
      <c r="S46" s="139">
        <v>20</v>
      </c>
      <c r="T46" s="139">
        <v>20</v>
      </c>
      <c r="U46" s="139">
        <v>30</v>
      </c>
      <c r="V46" s="139">
        <v>18</v>
      </c>
      <c r="W46" s="139">
        <v>20</v>
      </c>
      <c r="X46" s="139">
        <v>20</v>
      </c>
      <c r="Y46" s="139"/>
      <c r="Z46" s="140"/>
      <c r="AA46" s="141">
        <f t="shared" si="26"/>
        <v>1415.76</v>
      </c>
      <c r="AB46" s="139"/>
      <c r="AC46" s="139"/>
      <c r="AD46" s="139"/>
      <c r="AE46" s="66"/>
      <c r="AF46" s="139"/>
      <c r="AG46" s="139"/>
      <c r="AH46" s="139"/>
      <c r="AI46" s="139"/>
      <c r="AJ46" s="139"/>
      <c r="AK46" s="139"/>
      <c r="AL46" s="139"/>
      <c r="AM46" s="140"/>
      <c r="AN46" s="141">
        <f t="shared" si="27"/>
        <v>0</v>
      </c>
    </row>
    <row r="47" spans="1:40">
      <c r="A47" s="37" t="s">
        <v>102</v>
      </c>
      <c r="B47" s="68">
        <f>B48+B49</f>
        <v>323</v>
      </c>
      <c r="C47" s="68">
        <f t="shared" ref="C47:M47" si="31">C48+C49</f>
        <v>323</v>
      </c>
      <c r="D47" s="68">
        <f t="shared" si="31"/>
        <v>323</v>
      </c>
      <c r="E47" s="68">
        <f t="shared" si="31"/>
        <v>304</v>
      </c>
      <c r="F47" s="68">
        <f t="shared" si="31"/>
        <v>249</v>
      </c>
      <c r="G47" s="68">
        <f t="shared" si="31"/>
        <v>264.31</v>
      </c>
      <c r="H47" s="68">
        <f t="shared" si="31"/>
        <v>268.15999999999997</v>
      </c>
      <c r="I47" s="68">
        <f t="shared" si="31"/>
        <v>261.59000000000003</v>
      </c>
      <c r="J47" s="68">
        <f t="shared" si="31"/>
        <v>313.08999999999997</v>
      </c>
      <c r="K47" s="68">
        <f t="shared" si="31"/>
        <v>263.49</v>
      </c>
      <c r="L47" s="68">
        <f t="shared" si="31"/>
        <v>286.71000000000004</v>
      </c>
      <c r="M47" s="68">
        <f t="shared" si="31"/>
        <v>411.25</v>
      </c>
      <c r="N47" s="106">
        <f t="shared" si="25"/>
        <v>3590.6000000000004</v>
      </c>
      <c r="O47" s="68">
        <f>O48+O49</f>
        <v>292.02</v>
      </c>
      <c r="P47" s="68">
        <f t="shared" ref="P47:Z47" si="32">P48+P49</f>
        <v>583.42999999999995</v>
      </c>
      <c r="Q47" s="68">
        <f t="shared" si="32"/>
        <v>474.06</v>
      </c>
      <c r="R47" s="68">
        <f t="shared" si="32"/>
        <v>476.01</v>
      </c>
      <c r="S47" s="68">
        <f t="shared" si="32"/>
        <v>409.19</v>
      </c>
      <c r="T47" s="68">
        <f t="shared" si="32"/>
        <v>317.04999999999995</v>
      </c>
      <c r="U47" s="68">
        <f t="shared" si="32"/>
        <v>385.49</v>
      </c>
      <c r="V47" s="68">
        <f t="shared" si="32"/>
        <v>297.17</v>
      </c>
      <c r="W47" s="68">
        <f t="shared" si="32"/>
        <v>228.39999999999998</v>
      </c>
      <c r="X47" s="68">
        <f t="shared" si="32"/>
        <v>254.1</v>
      </c>
      <c r="Y47" s="68">
        <f t="shared" si="32"/>
        <v>200.2</v>
      </c>
      <c r="Z47" s="69">
        <f t="shared" si="32"/>
        <v>191.72</v>
      </c>
      <c r="AA47" s="102">
        <f t="shared" si="26"/>
        <v>4108.84</v>
      </c>
      <c r="AB47" s="68">
        <f>AB48+AB49</f>
        <v>151.11999999999998</v>
      </c>
      <c r="AC47" s="68">
        <f t="shared" ref="AC47:AM47" si="33">AC48+AC49</f>
        <v>109.41</v>
      </c>
      <c r="AD47" s="68">
        <f t="shared" si="33"/>
        <v>119.33999999999999</v>
      </c>
      <c r="AE47" s="68">
        <f t="shared" si="33"/>
        <v>109.71</v>
      </c>
      <c r="AF47" s="68">
        <f t="shared" si="33"/>
        <v>144.17000000000002</v>
      </c>
      <c r="AG47" s="68">
        <f t="shared" si="33"/>
        <v>180.71</v>
      </c>
      <c r="AH47" s="68">
        <f t="shared" si="33"/>
        <v>141.34</v>
      </c>
      <c r="AI47" s="68">
        <f t="shared" si="33"/>
        <v>136.49</v>
      </c>
      <c r="AJ47" s="68">
        <f t="shared" si="33"/>
        <v>0</v>
      </c>
      <c r="AK47" s="68">
        <f t="shared" si="33"/>
        <v>0</v>
      </c>
      <c r="AL47" s="68">
        <f t="shared" si="33"/>
        <v>0</v>
      </c>
      <c r="AM47" s="68">
        <f t="shared" si="33"/>
        <v>0</v>
      </c>
      <c r="AN47" s="102">
        <f t="shared" si="27"/>
        <v>1092.29</v>
      </c>
    </row>
    <row r="48" spans="1:40" outlineLevel="1">
      <c r="A48" s="38" t="s">
        <v>103</v>
      </c>
      <c r="B48" s="68">
        <v>288</v>
      </c>
      <c r="C48" s="68">
        <v>288</v>
      </c>
      <c r="D48" s="68">
        <v>288</v>
      </c>
      <c r="E48" s="68">
        <v>278</v>
      </c>
      <c r="F48" s="68">
        <v>249</v>
      </c>
      <c r="G48" s="68">
        <v>250.31</v>
      </c>
      <c r="H48" s="69">
        <v>256.83</v>
      </c>
      <c r="I48" s="69">
        <v>250.9</v>
      </c>
      <c r="J48" s="69">
        <v>251.79</v>
      </c>
      <c r="K48" s="69">
        <v>223.65</v>
      </c>
      <c r="L48" s="69">
        <v>215.99</v>
      </c>
      <c r="M48" s="69">
        <v>262.89999999999998</v>
      </c>
      <c r="N48" s="102">
        <f t="shared" si="25"/>
        <v>3103.3700000000003</v>
      </c>
      <c r="O48" s="68">
        <v>183.12</v>
      </c>
      <c r="P48" s="68">
        <v>239.73</v>
      </c>
      <c r="Q48" s="68">
        <v>290.99</v>
      </c>
      <c r="R48" s="68">
        <v>313.06</v>
      </c>
      <c r="S48" s="68">
        <v>349.4</v>
      </c>
      <c r="T48" s="68">
        <v>228.39</v>
      </c>
      <c r="U48" s="69">
        <v>255.47</v>
      </c>
      <c r="V48" s="69">
        <v>199.9</v>
      </c>
      <c r="W48" s="69">
        <v>167.45</v>
      </c>
      <c r="X48" s="69">
        <f>263*0.7</f>
        <v>184.1</v>
      </c>
      <c r="Y48" s="69">
        <f>251*0.7</f>
        <v>175.7</v>
      </c>
      <c r="Z48" s="69">
        <v>187.15</v>
      </c>
      <c r="AA48" s="102">
        <f t="shared" si="26"/>
        <v>2774.4599999999996</v>
      </c>
      <c r="AB48" s="68">
        <v>144.44999999999999</v>
      </c>
      <c r="AC48" s="68">
        <v>105.7</v>
      </c>
      <c r="AD48" s="68">
        <v>110.99</v>
      </c>
      <c r="AE48" s="68">
        <v>105.49</v>
      </c>
      <c r="AF48" s="68">
        <v>132.30000000000001</v>
      </c>
      <c r="AG48" s="68">
        <v>165.59</v>
      </c>
      <c r="AH48" s="224">
        <v>135.22999999999999</v>
      </c>
      <c r="AI48" s="224">
        <v>130.96</v>
      </c>
      <c r="AJ48" s="69"/>
      <c r="AK48" s="69"/>
      <c r="AL48" s="69"/>
      <c r="AM48" s="69"/>
      <c r="AN48" s="102">
        <f t="shared" si="27"/>
        <v>1030.71</v>
      </c>
    </row>
    <row r="49" spans="1:40" outlineLevel="1">
      <c r="A49" s="38" t="s">
        <v>74</v>
      </c>
      <c r="B49" s="68">
        <v>35</v>
      </c>
      <c r="C49" s="68">
        <v>35</v>
      </c>
      <c r="D49" s="68">
        <v>35</v>
      </c>
      <c r="E49" s="68">
        <v>26</v>
      </c>
      <c r="F49" s="68"/>
      <c r="G49" s="68">
        <v>14</v>
      </c>
      <c r="H49" s="69">
        <v>11.33</v>
      </c>
      <c r="I49" s="69">
        <v>10.69</v>
      </c>
      <c r="J49" s="69">
        <v>61.3</v>
      </c>
      <c r="K49" s="69">
        <v>39.840000000000003</v>
      </c>
      <c r="L49" s="69">
        <v>70.72</v>
      </c>
      <c r="M49" s="69">
        <v>148.35</v>
      </c>
      <c r="N49" s="102">
        <f t="shared" si="25"/>
        <v>487.23</v>
      </c>
      <c r="O49" s="68">
        <v>108.9</v>
      </c>
      <c r="P49" s="68">
        <v>343.7</v>
      </c>
      <c r="Q49" s="68">
        <v>183.07</v>
      </c>
      <c r="R49" s="68">
        <v>162.94999999999999</v>
      </c>
      <c r="S49" s="68">
        <v>59.79</v>
      </c>
      <c r="T49" s="68">
        <v>88.66</v>
      </c>
      <c r="U49" s="69">
        <v>130.02000000000001</v>
      </c>
      <c r="V49" s="69">
        <v>97.27</v>
      </c>
      <c r="W49" s="69">
        <v>60.95</v>
      </c>
      <c r="X49" s="69">
        <f>100*0.7</f>
        <v>70</v>
      </c>
      <c r="Y49" s="69">
        <f>35*0.7</f>
        <v>24.5</v>
      </c>
      <c r="Z49" s="69">
        <v>4.57</v>
      </c>
      <c r="AA49" s="102">
        <f t="shared" si="26"/>
        <v>1334.38</v>
      </c>
      <c r="AB49" s="68">
        <v>6.67</v>
      </c>
      <c r="AC49" s="68">
        <v>3.71</v>
      </c>
      <c r="AD49" s="68">
        <v>8.35</v>
      </c>
      <c r="AE49" s="68">
        <v>4.22</v>
      </c>
      <c r="AF49" s="68">
        <v>11.87</v>
      </c>
      <c r="AG49" s="224">
        <v>15.12</v>
      </c>
      <c r="AH49" s="224">
        <v>6.11</v>
      </c>
      <c r="AI49" s="224">
        <v>5.53</v>
      </c>
      <c r="AJ49" s="69"/>
      <c r="AK49" s="69"/>
      <c r="AL49" s="69"/>
      <c r="AM49" s="69"/>
      <c r="AN49" s="102">
        <f t="shared" si="27"/>
        <v>61.579999999999991</v>
      </c>
    </row>
    <row r="50" spans="1:40" collapsed="1">
      <c r="A50" s="67" t="s">
        <v>104</v>
      </c>
      <c r="B50" s="139">
        <f>B51+B52+B53</f>
        <v>47.16</v>
      </c>
      <c r="C50" s="139">
        <f t="shared" ref="C50:M50" si="34">C51+C52+C53</f>
        <v>58.86</v>
      </c>
      <c r="D50" s="139">
        <f t="shared" si="34"/>
        <v>85.53</v>
      </c>
      <c r="E50" s="139">
        <f t="shared" si="34"/>
        <v>120.45</v>
      </c>
      <c r="F50" s="139">
        <f t="shared" si="34"/>
        <v>69.259999999999991</v>
      </c>
      <c r="G50" s="139">
        <f t="shared" si="34"/>
        <v>80.52</v>
      </c>
      <c r="H50" s="139">
        <f t="shared" si="34"/>
        <v>139</v>
      </c>
      <c r="I50" s="139">
        <f t="shared" si="34"/>
        <v>97.65</v>
      </c>
      <c r="J50" s="139">
        <f t="shared" si="34"/>
        <v>159.49</v>
      </c>
      <c r="K50" s="139">
        <f t="shared" si="34"/>
        <v>93.44</v>
      </c>
      <c r="L50" s="139">
        <f t="shared" si="34"/>
        <v>131.66</v>
      </c>
      <c r="M50" s="139">
        <f t="shared" si="34"/>
        <v>129.06</v>
      </c>
      <c r="N50" s="142">
        <f t="shared" si="25"/>
        <v>1212.08</v>
      </c>
      <c r="O50" s="139">
        <f>O51+O52+O53</f>
        <v>61.94</v>
      </c>
      <c r="P50" s="139">
        <f t="shared" ref="P50:Z50" si="35">P51+P52+P53</f>
        <v>60.31</v>
      </c>
      <c r="Q50" s="139">
        <f t="shared" si="35"/>
        <v>64.400000000000006</v>
      </c>
      <c r="R50" s="139">
        <f t="shared" si="35"/>
        <v>87.669999999999987</v>
      </c>
      <c r="S50" s="139">
        <f t="shared" si="35"/>
        <v>93.52</v>
      </c>
      <c r="T50" s="139">
        <f t="shared" si="35"/>
        <v>79.16</v>
      </c>
      <c r="U50" s="139">
        <f t="shared" si="35"/>
        <v>66.099999999999994</v>
      </c>
      <c r="V50" s="139">
        <f t="shared" si="35"/>
        <v>53.209999999999994</v>
      </c>
      <c r="W50" s="139">
        <f t="shared" si="35"/>
        <v>66.73</v>
      </c>
      <c r="X50" s="139">
        <f t="shared" si="35"/>
        <v>69.190000000000012</v>
      </c>
      <c r="Y50" s="139">
        <f t="shared" si="35"/>
        <v>70.27</v>
      </c>
      <c r="Z50" s="140">
        <f t="shared" si="35"/>
        <v>57.269999999999996</v>
      </c>
      <c r="AA50" s="141">
        <f t="shared" si="26"/>
        <v>829.7700000000001</v>
      </c>
      <c r="AB50" s="139">
        <f>AB51+AB52+AB53</f>
        <v>51.41</v>
      </c>
      <c r="AC50" s="139">
        <f t="shared" ref="AC50:AM50" si="36">AC51+AC52+AC53</f>
        <v>58.65</v>
      </c>
      <c r="AD50" s="139">
        <f t="shared" si="36"/>
        <v>8.8490000000000002</v>
      </c>
      <c r="AE50" s="139">
        <f t="shared" si="36"/>
        <v>20.88</v>
      </c>
      <c r="AF50" s="139">
        <f t="shared" si="36"/>
        <v>18.48</v>
      </c>
      <c r="AG50" s="139">
        <f t="shared" si="36"/>
        <v>0</v>
      </c>
      <c r="AH50" s="139">
        <f t="shared" si="36"/>
        <v>0</v>
      </c>
      <c r="AI50" s="139">
        <f t="shared" si="36"/>
        <v>0</v>
      </c>
      <c r="AJ50" s="139">
        <f t="shared" si="36"/>
        <v>0</v>
      </c>
      <c r="AK50" s="139">
        <f t="shared" si="36"/>
        <v>0</v>
      </c>
      <c r="AL50" s="139">
        <f t="shared" si="36"/>
        <v>0</v>
      </c>
      <c r="AM50" s="139">
        <f t="shared" si="36"/>
        <v>0</v>
      </c>
      <c r="AN50" s="141">
        <f t="shared" si="27"/>
        <v>158.26900000000001</v>
      </c>
    </row>
    <row r="51" spans="1:40" hidden="1" outlineLevel="1">
      <c r="A51" s="37" t="s">
        <v>105</v>
      </c>
      <c r="B51" s="55">
        <v>42.16</v>
      </c>
      <c r="C51" s="55">
        <v>55.86</v>
      </c>
      <c r="D51" s="55">
        <v>67.53</v>
      </c>
      <c r="E51" s="55">
        <v>98.45</v>
      </c>
      <c r="F51" s="55">
        <v>55.26</v>
      </c>
      <c r="G51" s="55">
        <v>74.52</v>
      </c>
      <c r="H51" s="55">
        <v>135</v>
      </c>
      <c r="I51" s="55">
        <v>94.65</v>
      </c>
      <c r="J51" s="55">
        <v>150.49</v>
      </c>
      <c r="K51" s="55">
        <v>89.44</v>
      </c>
      <c r="L51" s="55">
        <v>127.66</v>
      </c>
      <c r="M51" s="55">
        <v>118.93</v>
      </c>
      <c r="N51" s="103">
        <f t="shared" si="25"/>
        <v>1109.9499999999998</v>
      </c>
      <c r="O51" s="55">
        <f>45.33+10.41</f>
        <v>55.739999999999995</v>
      </c>
      <c r="P51" s="55">
        <f>44.78+10.21</f>
        <v>54.99</v>
      </c>
      <c r="Q51" s="55">
        <f>47.51+10.21</f>
        <v>57.72</v>
      </c>
      <c r="R51" s="55">
        <f>67.07+13.62</f>
        <v>80.69</v>
      </c>
      <c r="S51" s="55">
        <f>69.68+17.38</f>
        <v>87.06</v>
      </c>
      <c r="T51" s="55">
        <f>61.17+11.63</f>
        <v>72.8</v>
      </c>
      <c r="U51" s="55">
        <f>49.53+10.15</f>
        <v>59.68</v>
      </c>
      <c r="V51" s="55">
        <f>39.86+7.87</f>
        <v>47.73</v>
      </c>
      <c r="W51" s="55">
        <f>55.68+7.79</f>
        <v>63.47</v>
      </c>
      <c r="X51" s="55">
        <f>53.85+11.64</f>
        <v>65.490000000000009</v>
      </c>
      <c r="Y51" s="55">
        <f>53.85+10.34</f>
        <v>64.19</v>
      </c>
      <c r="Z51" s="55">
        <f>46.9+6.48</f>
        <v>53.379999999999995</v>
      </c>
      <c r="AA51" s="103">
        <f t="shared" si="26"/>
        <v>762.93999999999994</v>
      </c>
      <c r="AB51" s="55">
        <f>41.22+8.33</f>
        <v>49.55</v>
      </c>
      <c r="AC51" s="55">
        <f>45.23+10.28</f>
        <v>55.51</v>
      </c>
      <c r="AD51" s="55">
        <f>7.24+0.159</f>
        <v>7.399</v>
      </c>
      <c r="AE51" s="55">
        <f>13.84+3.84</f>
        <v>17.68</v>
      </c>
      <c r="AF51" s="55">
        <f>12.68+2.63</f>
        <v>15.309999999999999</v>
      </c>
      <c r="AG51" s="55"/>
      <c r="AH51" s="55"/>
      <c r="AI51" s="55"/>
      <c r="AJ51" s="55"/>
      <c r="AK51" s="55"/>
      <c r="AL51" s="55"/>
      <c r="AM51" s="55"/>
      <c r="AN51" s="103">
        <f t="shared" si="27"/>
        <v>145.44900000000001</v>
      </c>
    </row>
    <row r="52" spans="1:40" hidden="1" outlineLevel="1">
      <c r="A52" s="37" t="s">
        <v>75</v>
      </c>
      <c r="B52" s="55">
        <v>5</v>
      </c>
      <c r="C52" s="55">
        <v>3</v>
      </c>
      <c r="D52" s="55">
        <v>15</v>
      </c>
      <c r="E52" s="55">
        <v>22</v>
      </c>
      <c r="F52" s="55">
        <v>14</v>
      </c>
      <c r="G52" s="55">
        <v>4</v>
      </c>
      <c r="H52" s="55">
        <v>3</v>
      </c>
      <c r="I52" s="55">
        <v>2</v>
      </c>
      <c r="J52" s="55">
        <v>7</v>
      </c>
      <c r="K52" s="55">
        <v>3</v>
      </c>
      <c r="L52" s="55">
        <v>3</v>
      </c>
      <c r="M52" s="55">
        <v>7.66</v>
      </c>
      <c r="N52" s="103">
        <f t="shared" si="25"/>
        <v>88.66</v>
      </c>
      <c r="O52" s="55">
        <v>2.99</v>
      </c>
      <c r="P52" s="55">
        <v>2.38</v>
      </c>
      <c r="Q52" s="55">
        <v>3.38</v>
      </c>
      <c r="R52" s="55">
        <v>3.66</v>
      </c>
      <c r="S52" s="55">
        <v>2.25</v>
      </c>
      <c r="T52" s="55">
        <f>3.04+1.01</f>
        <v>4.05</v>
      </c>
      <c r="U52" s="55">
        <f>2.35+1.58</f>
        <v>3.93</v>
      </c>
      <c r="V52" s="55">
        <v>1.64</v>
      </c>
      <c r="W52" s="55">
        <v>1.37</v>
      </c>
      <c r="X52" s="55">
        <v>1.93</v>
      </c>
      <c r="Y52" s="55">
        <v>2.4500000000000002</v>
      </c>
      <c r="Z52" s="55">
        <v>1.2</v>
      </c>
      <c r="AA52" s="103">
        <f t="shared" si="26"/>
        <v>31.23</v>
      </c>
      <c r="AB52" s="55">
        <v>1.1499999999999999</v>
      </c>
      <c r="AC52" s="55">
        <v>2.04</v>
      </c>
      <c r="AD52" s="55">
        <v>1.1100000000000001</v>
      </c>
      <c r="AE52" s="55">
        <v>2.4500000000000002</v>
      </c>
      <c r="AF52" s="55">
        <v>2.6</v>
      </c>
      <c r="AG52" s="55"/>
      <c r="AH52" s="55"/>
      <c r="AI52" s="55"/>
      <c r="AJ52" s="55"/>
      <c r="AK52" s="55"/>
      <c r="AL52" s="55"/>
      <c r="AM52" s="55"/>
      <c r="AN52" s="103">
        <f t="shared" si="27"/>
        <v>9.35</v>
      </c>
    </row>
    <row r="53" spans="1:40" hidden="1" outlineLevel="1">
      <c r="A53" s="37" t="s">
        <v>106</v>
      </c>
      <c r="B53" s="55">
        <v>0</v>
      </c>
      <c r="C53" s="55"/>
      <c r="D53" s="55">
        <v>3</v>
      </c>
      <c r="E53" s="55">
        <v>0</v>
      </c>
      <c r="F53" s="55">
        <v>0</v>
      </c>
      <c r="G53" s="55">
        <v>2</v>
      </c>
      <c r="H53" s="55">
        <v>1</v>
      </c>
      <c r="I53" s="55">
        <v>1</v>
      </c>
      <c r="J53" s="55">
        <v>2</v>
      </c>
      <c r="K53" s="55">
        <v>1</v>
      </c>
      <c r="L53" s="55">
        <v>1</v>
      </c>
      <c r="M53" s="55">
        <v>2.4700000000000002</v>
      </c>
      <c r="N53" s="103">
        <f t="shared" si="25"/>
        <v>13.47</v>
      </c>
      <c r="O53" s="55">
        <f>2.06+1.15</f>
        <v>3.21</v>
      </c>
      <c r="P53" s="55">
        <v>2.94</v>
      </c>
      <c r="Q53" s="55">
        <v>3.3</v>
      </c>
      <c r="R53" s="55">
        <f>1.89+1.43</f>
        <v>3.32</v>
      </c>
      <c r="S53" s="55">
        <v>4.21</v>
      </c>
      <c r="T53" s="55">
        <v>2.31</v>
      </c>
      <c r="U53" s="55">
        <v>2.4900000000000002</v>
      </c>
      <c r="V53" s="55">
        <f>2.36+1.48</f>
        <v>3.84</v>
      </c>
      <c r="W53" s="55">
        <v>1.89</v>
      </c>
      <c r="X53" s="55">
        <v>1.77</v>
      </c>
      <c r="Y53" s="55">
        <v>3.63</v>
      </c>
      <c r="Z53" s="55">
        <f>0.95+1.74</f>
        <v>2.69</v>
      </c>
      <c r="AA53" s="103">
        <f t="shared" si="26"/>
        <v>35.6</v>
      </c>
      <c r="AB53" s="55">
        <v>0.71</v>
      </c>
      <c r="AC53" s="55">
        <v>1.1000000000000001</v>
      </c>
      <c r="AD53" s="55">
        <v>0.34</v>
      </c>
      <c r="AE53" s="55">
        <v>0.75</v>
      </c>
      <c r="AF53" s="55">
        <v>0.56999999999999995</v>
      </c>
      <c r="AG53" s="55"/>
      <c r="AH53" s="55"/>
      <c r="AI53" s="55"/>
      <c r="AJ53" s="55"/>
      <c r="AK53" s="55"/>
      <c r="AL53" s="55"/>
      <c r="AM53" s="55"/>
      <c r="AN53" s="103">
        <f t="shared" si="27"/>
        <v>3.4699999999999998</v>
      </c>
    </row>
    <row r="54" spans="1:40" collapsed="1">
      <c r="A54" s="37" t="s">
        <v>107</v>
      </c>
      <c r="B54" s="68">
        <v>7</v>
      </c>
      <c r="C54" s="68">
        <v>1.7857142857142856</v>
      </c>
      <c r="D54" s="68">
        <v>8</v>
      </c>
      <c r="E54" s="68">
        <v>49</v>
      </c>
      <c r="F54" s="68">
        <v>81</v>
      </c>
      <c r="G54" s="68">
        <v>85</v>
      </c>
      <c r="H54" s="68">
        <v>135</v>
      </c>
      <c r="I54" s="68">
        <v>38.4</v>
      </c>
      <c r="J54" s="68">
        <v>36.93</v>
      </c>
      <c r="K54" s="68">
        <v>13.52</v>
      </c>
      <c r="L54" s="68">
        <v>28.64</v>
      </c>
      <c r="M54" s="68">
        <v>30</v>
      </c>
      <c r="N54" s="106">
        <f t="shared" si="25"/>
        <v>514.27571428571423</v>
      </c>
      <c r="O54" s="68"/>
      <c r="P54" s="68"/>
      <c r="Q54" s="68"/>
      <c r="R54" s="68"/>
      <c r="S54" s="68"/>
      <c r="T54" s="68"/>
      <c r="U54" s="68">
        <v>5</v>
      </c>
      <c r="V54" s="68">
        <v>5</v>
      </c>
      <c r="W54" s="68">
        <v>3.13</v>
      </c>
      <c r="X54" s="68">
        <v>3</v>
      </c>
      <c r="Y54" s="68">
        <v>3</v>
      </c>
      <c r="Z54" s="69">
        <v>3</v>
      </c>
      <c r="AA54" s="102">
        <f t="shared" si="26"/>
        <v>22.13</v>
      </c>
      <c r="AB54" s="68">
        <v>1.47</v>
      </c>
      <c r="AC54" s="68">
        <v>0</v>
      </c>
      <c r="AD54" s="68">
        <v>0</v>
      </c>
      <c r="AE54" s="68"/>
      <c r="AF54" s="68"/>
      <c r="AG54" s="68"/>
      <c r="AH54" s="68"/>
      <c r="AI54" s="68"/>
      <c r="AJ54" s="68"/>
      <c r="AK54" s="68"/>
      <c r="AL54" s="68"/>
      <c r="AM54" s="69"/>
      <c r="AN54" s="102">
        <f t="shared" si="27"/>
        <v>1.47</v>
      </c>
    </row>
  </sheetData>
  <conditionalFormatting sqref="A2">
    <cfRule type="colorScale" priority="3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">
    <cfRule type="colorScale" priority="3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1:M33 O31:Z33 B34:L34 O34:Y34 M34:M35 Z34:Z35">
    <cfRule type="cellIs" dxfId="16" priority="793" stopIfTrue="1" operator="equal">
      <formula>0</formula>
    </cfRule>
  </conditionalFormatting>
  <conditionalFormatting sqref="B36:M38">
    <cfRule type="cellIs" dxfId="15" priority="405" stopIfTrue="1" operator="equal">
      <formula>0</formula>
    </cfRule>
  </conditionalFormatting>
  <conditionalFormatting sqref="B5:AN30">
    <cfRule type="cellIs" dxfId="14" priority="2" stopIfTrue="1" operator="equal">
      <formula>0</formula>
    </cfRule>
  </conditionalFormatting>
  <conditionalFormatting sqref="B35:AN35">
    <cfRule type="cellIs" dxfId="13" priority="477" stopIfTrue="1" operator="equal">
      <formula>0</formula>
    </cfRule>
  </conditionalFormatting>
  <conditionalFormatting sqref="N31:N38">
    <cfRule type="cellIs" dxfId="12" priority="383" stopIfTrue="1" operator="equal">
      <formula>0</formula>
    </cfRule>
  </conditionalFormatting>
  <conditionalFormatting sqref="O36:Z38">
    <cfRule type="cellIs" dxfId="11" priority="44" stopIfTrue="1" operator="equal">
      <formula>0</formula>
    </cfRule>
  </conditionalFormatting>
  <conditionalFormatting sqref="AA31:AA38">
    <cfRule type="cellIs" dxfId="10" priority="29" stopIfTrue="1" operator="equal">
      <formula>0</formula>
    </cfRule>
  </conditionalFormatting>
  <conditionalFormatting sqref="AB31:AM33 AB34:AL34 AM34:AM35 B39:AN54">
    <cfRule type="cellIs" dxfId="9" priority="4" stopIfTrue="1" operator="equal">
      <formula>0</formula>
    </cfRule>
  </conditionalFormatting>
  <conditionalFormatting sqref="AB36:AM38">
    <cfRule type="cellIs" dxfId="8" priority="3" stopIfTrue="1" operator="equal">
      <formula>0</formula>
    </cfRule>
  </conditionalFormatting>
  <conditionalFormatting sqref="AN31:AN38">
    <cfRule type="cellIs" dxfId="7" priority="1" stopIfTrue="1" operator="equal">
      <formula>0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0057-0FD7-4E30-9D2D-E60B7BA23B45}">
  <sheetPr>
    <tabColor theme="8" tint="-0.499984740745262"/>
    <outlinePr summaryBelow="0"/>
  </sheetPr>
  <dimension ref="A2:AN70"/>
  <sheetViews>
    <sheetView showGridLines="0" tabSelected="1" zoomScale="106" zoomScaleNormal="106" workbookViewId="0">
      <pane xSplit="1" ySplit="4" topLeftCell="AB20" activePane="bottomRight" state="frozen"/>
      <selection pane="topRight" activeCell="B1" sqref="B1"/>
      <selection pane="bottomLeft" activeCell="A5" sqref="A5"/>
      <selection pane="bottomRight" activeCell="AI43" sqref="AI43"/>
    </sheetView>
  </sheetViews>
  <sheetFormatPr baseColWidth="10" defaultRowHeight="12.75" outlineLevelRow="2" outlineLevelCol="1"/>
  <cols>
    <col min="1" max="1" width="38.7109375" bestFit="1" customWidth="1"/>
    <col min="2" max="2" width="13.42578125" hidden="1" customWidth="1" outlineLevel="1"/>
    <col min="3" max="5" width="12.42578125" hidden="1" customWidth="1" outlineLevel="1"/>
    <col min="6" max="6" width="14.42578125" hidden="1" customWidth="1" outlineLevel="1"/>
    <col min="7" max="10" width="12.42578125" hidden="1" customWidth="1" outlineLevel="1"/>
    <col min="11" max="11" width="15" hidden="1" customWidth="1" outlineLevel="1"/>
    <col min="12" max="12" width="12.42578125" hidden="1" customWidth="1" outlineLevel="1"/>
    <col min="13" max="13" width="11.7109375" hidden="1" customWidth="1" outlineLevel="1"/>
    <col min="14" max="14" width="12.85546875" bestFit="1" customWidth="1" collapsed="1"/>
    <col min="15" max="15" width="13.42578125" hidden="1" customWidth="1" outlineLevel="1"/>
    <col min="16" max="17" width="11.85546875" hidden="1" customWidth="1" outlineLevel="1"/>
    <col min="18" max="25" width="11.42578125" hidden="1" customWidth="1" outlineLevel="1"/>
    <col min="26" max="26" width="13.28515625" hidden="1" customWidth="1" outlineLevel="1"/>
    <col min="27" max="27" width="11.42578125" bestFit="1" customWidth="1" collapsed="1"/>
  </cols>
  <sheetData>
    <row r="2" spans="1:40" ht="21" customHeight="1">
      <c r="A2" s="133" t="s">
        <v>158</v>
      </c>
    </row>
    <row r="3" spans="1:40" ht="21" customHeight="1"/>
    <row r="4" spans="1:40" ht="21">
      <c r="A4" s="132" t="s">
        <v>7</v>
      </c>
      <c r="B4" s="131">
        <v>44562</v>
      </c>
      <c r="C4" s="131">
        <v>44593</v>
      </c>
      <c r="D4" s="131">
        <v>44621</v>
      </c>
      <c r="E4" s="131">
        <v>44652</v>
      </c>
      <c r="F4" s="131">
        <v>44682</v>
      </c>
      <c r="G4" s="131">
        <v>44713</v>
      </c>
      <c r="H4" s="131">
        <v>44743</v>
      </c>
      <c r="I4" s="131">
        <v>44774</v>
      </c>
      <c r="J4" s="131">
        <v>44805</v>
      </c>
      <c r="K4" s="131">
        <v>44835</v>
      </c>
      <c r="L4" s="131">
        <v>44866</v>
      </c>
      <c r="M4" s="131">
        <v>44896</v>
      </c>
      <c r="N4" s="91">
        <v>2022</v>
      </c>
      <c r="O4" s="131">
        <v>44927</v>
      </c>
      <c r="P4" s="131">
        <v>44958</v>
      </c>
      <c r="Q4" s="131">
        <v>44986</v>
      </c>
      <c r="R4" s="131">
        <v>45017</v>
      </c>
      <c r="S4" s="131">
        <v>45047</v>
      </c>
      <c r="T4" s="131">
        <v>45078</v>
      </c>
      <c r="U4" s="131">
        <v>45108</v>
      </c>
      <c r="V4" s="131">
        <v>45139</v>
      </c>
      <c r="W4" s="131">
        <v>45170</v>
      </c>
      <c r="X4" s="131">
        <v>45200</v>
      </c>
      <c r="Y4" s="131">
        <v>45231</v>
      </c>
      <c r="Z4" s="131">
        <v>45261</v>
      </c>
      <c r="AA4" s="91">
        <v>2023</v>
      </c>
      <c r="AB4" s="131">
        <v>45292</v>
      </c>
      <c r="AC4" s="131">
        <v>45323</v>
      </c>
      <c r="AD4" s="131">
        <v>45352</v>
      </c>
      <c r="AE4" s="131">
        <v>45383</v>
      </c>
      <c r="AF4" s="131">
        <v>45413</v>
      </c>
      <c r="AG4" s="131">
        <v>45444</v>
      </c>
      <c r="AH4" s="131">
        <v>45474</v>
      </c>
      <c r="AI4" s="131">
        <v>45505</v>
      </c>
      <c r="AJ4" s="131">
        <v>45536</v>
      </c>
      <c r="AK4" s="131">
        <v>45566</v>
      </c>
      <c r="AL4" s="131">
        <v>45597</v>
      </c>
      <c r="AM4" s="131">
        <v>45627</v>
      </c>
      <c r="AN4" s="91">
        <v>2024</v>
      </c>
    </row>
    <row r="5" spans="1:40" collapsed="1">
      <c r="A5" s="64" t="s">
        <v>82</v>
      </c>
      <c r="B5" s="129">
        <f t="shared" ref="B5:M5" si="0">B6+B7+B8+B9</f>
        <v>0</v>
      </c>
      <c r="C5" s="129">
        <f t="shared" si="0"/>
        <v>0</v>
      </c>
      <c r="D5" s="129">
        <f t="shared" si="0"/>
        <v>0</v>
      </c>
      <c r="E5" s="129">
        <f t="shared" si="0"/>
        <v>0</v>
      </c>
      <c r="F5" s="129">
        <f t="shared" si="0"/>
        <v>0</v>
      </c>
      <c r="G5" s="129">
        <f t="shared" si="0"/>
        <v>0</v>
      </c>
      <c r="H5" s="129">
        <f t="shared" si="0"/>
        <v>2138222</v>
      </c>
      <c r="I5" s="129">
        <f t="shared" si="0"/>
        <v>20995605</v>
      </c>
      <c r="J5" s="129">
        <f t="shared" si="0"/>
        <v>25471224</v>
      </c>
      <c r="K5" s="129">
        <f t="shared" si="0"/>
        <v>16746638</v>
      </c>
      <c r="L5" s="129">
        <f t="shared" si="0"/>
        <v>21454805</v>
      </c>
      <c r="M5" s="129">
        <f t="shared" si="0"/>
        <v>17703818</v>
      </c>
      <c r="N5" s="130">
        <f>SUM(B5:M5)</f>
        <v>104510312</v>
      </c>
      <c r="O5" s="129">
        <f t="shared" ref="O5:Z5" si="1">O6+O7+O8+O9</f>
        <v>19686396</v>
      </c>
      <c r="P5" s="129">
        <f t="shared" si="1"/>
        <v>18694433</v>
      </c>
      <c r="Q5" s="129">
        <f t="shared" si="1"/>
        <v>17946086</v>
      </c>
      <c r="R5" s="129">
        <f t="shared" si="1"/>
        <v>15913905</v>
      </c>
      <c r="S5" s="129">
        <f t="shared" si="1"/>
        <v>19003163</v>
      </c>
      <c r="T5" s="129">
        <f t="shared" si="1"/>
        <v>16535012</v>
      </c>
      <c r="U5" s="129">
        <f t="shared" si="1"/>
        <v>17426998</v>
      </c>
      <c r="V5" s="129">
        <f t="shared" si="1"/>
        <v>13154888</v>
      </c>
      <c r="W5" s="129">
        <f t="shared" si="1"/>
        <v>13467069</v>
      </c>
      <c r="X5" s="129">
        <f t="shared" si="1"/>
        <v>12791469</v>
      </c>
      <c r="Y5" s="129">
        <f t="shared" si="1"/>
        <v>8473521</v>
      </c>
      <c r="Z5" s="129">
        <f t="shared" si="1"/>
        <v>9687247</v>
      </c>
      <c r="AA5" s="130">
        <f>SUM(O5:Z5)</f>
        <v>182780187</v>
      </c>
      <c r="AB5" s="129">
        <f>AB6+AB7+AB8+AB9</f>
        <v>11319364</v>
      </c>
      <c r="AC5" s="129">
        <f t="shared" ref="AC5:AM5" si="2">AC6+AC7+AC8+AC9</f>
        <v>10356565</v>
      </c>
      <c r="AD5" s="129">
        <f t="shared" si="2"/>
        <v>13053033</v>
      </c>
      <c r="AE5" s="129">
        <f t="shared" si="2"/>
        <v>12998378</v>
      </c>
      <c r="AF5" s="129">
        <f t="shared" si="2"/>
        <v>23746521</v>
      </c>
      <c r="AG5" s="129">
        <f t="shared" si="2"/>
        <v>26190475</v>
      </c>
      <c r="AH5" s="129">
        <f t="shared" si="2"/>
        <v>33446492</v>
      </c>
      <c r="AI5" s="129">
        <f t="shared" si="2"/>
        <v>0</v>
      </c>
      <c r="AJ5" s="129">
        <f t="shared" si="2"/>
        <v>0</v>
      </c>
      <c r="AK5" s="129">
        <f t="shared" si="2"/>
        <v>0</v>
      </c>
      <c r="AL5" s="129">
        <f t="shared" si="2"/>
        <v>0</v>
      </c>
      <c r="AM5" s="129">
        <f t="shared" si="2"/>
        <v>0</v>
      </c>
      <c r="AN5" s="130">
        <f>SUM(AB5:AM5)</f>
        <v>131110828</v>
      </c>
    </row>
    <row r="6" spans="1:40" hidden="1" outlineLevel="1">
      <c r="A6" s="38" t="s">
        <v>50</v>
      </c>
      <c r="B6" s="74"/>
      <c r="C6" s="74"/>
      <c r="D6" s="74"/>
      <c r="E6" s="74"/>
      <c r="F6" s="74"/>
      <c r="G6" s="74"/>
      <c r="H6" s="74"/>
      <c r="I6" s="74">
        <v>6700689</v>
      </c>
      <c r="J6" s="74"/>
      <c r="K6" s="74">
        <v>4794655</v>
      </c>
      <c r="L6" s="74">
        <v>3835820</v>
      </c>
      <c r="M6" s="74"/>
      <c r="N6" s="73">
        <f t="shared" ref="N6:N70" si="3">SUM(B6:M6)</f>
        <v>15331164</v>
      </c>
      <c r="O6" s="74"/>
      <c r="P6" s="74"/>
      <c r="Q6" s="74"/>
      <c r="R6" s="74"/>
      <c r="S6" s="74"/>
      <c r="T6" s="74">
        <v>6480189</v>
      </c>
      <c r="U6" s="74">
        <v>5518350</v>
      </c>
      <c r="V6" s="74">
        <v>5943322</v>
      </c>
      <c r="W6" s="74">
        <v>6014956</v>
      </c>
      <c r="X6" s="74">
        <v>7025570</v>
      </c>
      <c r="Y6" s="74">
        <v>5696904</v>
      </c>
      <c r="Z6" s="74">
        <v>6381122</v>
      </c>
      <c r="AA6" s="73">
        <f t="shared" ref="AA6:AA70" si="4">SUM(O6:Z6)</f>
        <v>43060413</v>
      </c>
      <c r="AB6" s="74">
        <v>7334928</v>
      </c>
      <c r="AC6" s="74">
        <v>5887044</v>
      </c>
      <c r="AD6" s="74">
        <v>7090160</v>
      </c>
      <c r="AE6" s="74">
        <v>6371633</v>
      </c>
      <c r="AF6" s="74">
        <v>5741290</v>
      </c>
      <c r="AG6" s="74">
        <v>4705895</v>
      </c>
      <c r="AH6" s="74">
        <v>7717721</v>
      </c>
      <c r="AI6" s="74"/>
      <c r="AJ6" s="74"/>
      <c r="AK6" s="74"/>
      <c r="AL6" s="74"/>
      <c r="AM6" s="74"/>
      <c r="AN6" s="73">
        <f t="shared" ref="AN6:AN26" si="5">SUM(AB6:AM6)</f>
        <v>44848671</v>
      </c>
    </row>
    <row r="7" spans="1:40" hidden="1" outlineLevel="1">
      <c r="A7" s="38" t="s">
        <v>245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3">
        <f t="shared" si="3"/>
        <v>0</v>
      </c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>
        <v>414803</v>
      </c>
      <c r="AA7" s="73">
        <f t="shared" si="4"/>
        <v>414803</v>
      </c>
      <c r="AB7" s="74">
        <v>382033</v>
      </c>
      <c r="AC7" s="74">
        <v>303414</v>
      </c>
      <c r="AD7" s="74">
        <v>217778</v>
      </c>
      <c r="AE7" s="74">
        <v>75989</v>
      </c>
      <c r="AF7" s="74">
        <v>43126</v>
      </c>
      <c r="AG7" s="74">
        <v>11597</v>
      </c>
      <c r="AH7" s="74">
        <v>151439</v>
      </c>
      <c r="AI7" s="74"/>
      <c r="AJ7" s="74"/>
      <c r="AK7" s="74"/>
      <c r="AL7" s="74"/>
      <c r="AM7" s="74"/>
      <c r="AN7" s="73">
        <f t="shared" si="5"/>
        <v>1185376</v>
      </c>
    </row>
    <row r="8" spans="1:40" hidden="1" outlineLevel="1">
      <c r="A8" s="38" t="s">
        <v>83</v>
      </c>
      <c r="B8" s="74"/>
      <c r="C8" s="74"/>
      <c r="D8" s="74"/>
      <c r="E8" s="74"/>
      <c r="F8" s="74"/>
      <c r="G8" s="74"/>
      <c r="H8" s="74">
        <v>2138222</v>
      </c>
      <c r="I8" s="74">
        <v>14260733</v>
      </c>
      <c r="J8" s="74">
        <v>25004206</v>
      </c>
      <c r="K8" s="74">
        <v>11821561</v>
      </c>
      <c r="L8" s="74">
        <v>17356016</v>
      </c>
      <c r="M8" s="74">
        <v>17472762</v>
      </c>
      <c r="N8" s="73">
        <f t="shared" si="3"/>
        <v>88053500</v>
      </c>
      <c r="O8" s="74">
        <v>19353477</v>
      </c>
      <c r="P8" s="74">
        <f>9055710+9285451</f>
        <v>18341161</v>
      </c>
      <c r="Q8" s="74">
        <f>10650351+5983372</f>
        <v>16633723</v>
      </c>
      <c r="R8" s="74">
        <f>11570976+3039047</f>
        <v>14610023</v>
      </c>
      <c r="S8" s="74">
        <f>11758803+5772063</f>
        <v>17530866</v>
      </c>
      <c r="T8" s="74">
        <f>4251657+4394719</f>
        <v>8646376</v>
      </c>
      <c r="U8" s="74">
        <f>7545260+2608490</f>
        <v>10153750</v>
      </c>
      <c r="V8" s="74">
        <f>1027787+4503963</f>
        <v>5531750</v>
      </c>
      <c r="W8" s="74">
        <v>6127404</v>
      </c>
      <c r="X8" s="74">
        <v>4612800</v>
      </c>
      <c r="Y8" s="74">
        <v>1786168</v>
      </c>
      <c r="Z8" s="74">
        <f>1737912+424434</f>
        <v>2162346</v>
      </c>
      <c r="AA8" s="73">
        <f t="shared" si="4"/>
        <v>125489844</v>
      </c>
      <c r="AB8" s="74">
        <f>2443228+478529</f>
        <v>2921757</v>
      </c>
      <c r="AC8" s="74">
        <v>4029202</v>
      </c>
      <c r="AD8" s="74">
        <v>5685705</v>
      </c>
      <c r="AE8" s="74">
        <v>6421367</v>
      </c>
      <c r="AF8" s="74">
        <v>17849283</v>
      </c>
      <c r="AG8" s="74">
        <v>21245824</v>
      </c>
      <c r="AH8" s="74">
        <v>25350921</v>
      </c>
      <c r="AI8" s="74"/>
      <c r="AJ8" s="74"/>
      <c r="AK8" s="74"/>
      <c r="AL8" s="74"/>
      <c r="AM8" s="74"/>
      <c r="AN8" s="73">
        <f t="shared" si="5"/>
        <v>83504059</v>
      </c>
    </row>
    <row r="9" spans="1:40" hidden="1" outlineLevel="1">
      <c r="A9" s="38" t="s">
        <v>84</v>
      </c>
      <c r="B9" s="74"/>
      <c r="C9" s="74"/>
      <c r="D9" s="74"/>
      <c r="E9" s="74"/>
      <c r="F9" s="74"/>
      <c r="G9" s="74"/>
      <c r="H9" s="74"/>
      <c r="I9" s="74">
        <v>34183</v>
      </c>
      <c r="J9" s="74">
        <v>467018</v>
      </c>
      <c r="K9" s="74">
        <v>130422</v>
      </c>
      <c r="L9" s="74">
        <v>262969</v>
      </c>
      <c r="M9" s="74">
        <v>231056</v>
      </c>
      <c r="N9" s="73">
        <f t="shared" si="3"/>
        <v>1125648</v>
      </c>
      <c r="O9" s="74">
        <v>332919</v>
      </c>
      <c r="P9" s="74">
        <v>353272</v>
      </c>
      <c r="Q9" s="74">
        <f>1101615+210748</f>
        <v>1312363</v>
      </c>
      <c r="R9" s="74">
        <f>917744+386138</f>
        <v>1303882</v>
      </c>
      <c r="S9" s="74">
        <f>250740+1221557</f>
        <v>1472297</v>
      </c>
      <c r="T9" s="74">
        <f>212831+1195616</f>
        <v>1408447</v>
      </c>
      <c r="U9" s="74">
        <f>1276249+478649</f>
        <v>1754898</v>
      </c>
      <c r="V9" s="74">
        <f>1170514+509302</f>
        <v>1679816</v>
      </c>
      <c r="W9" s="74">
        <v>1324709</v>
      </c>
      <c r="X9" s="74">
        <v>1153099</v>
      </c>
      <c r="Y9" s="74">
        <f>886273+104176</f>
        <v>990449</v>
      </c>
      <c r="Z9" s="74">
        <f>704215+24761</f>
        <v>728976</v>
      </c>
      <c r="AA9" s="73">
        <f t="shared" si="4"/>
        <v>13815127</v>
      </c>
      <c r="AB9" s="74">
        <f>37980+642666</f>
        <v>680646</v>
      </c>
      <c r="AC9" s="74">
        <v>136905</v>
      </c>
      <c r="AD9" s="74">
        <v>59390</v>
      </c>
      <c r="AE9" s="74">
        <v>129389</v>
      </c>
      <c r="AF9" s="74">
        <v>112822</v>
      </c>
      <c r="AG9" s="74">
        <v>227159</v>
      </c>
      <c r="AH9" s="74">
        <v>226411</v>
      </c>
      <c r="AI9" s="74"/>
      <c r="AJ9" s="74"/>
      <c r="AK9" s="74"/>
      <c r="AL9" s="74"/>
      <c r="AM9" s="74"/>
      <c r="AN9" s="73">
        <f t="shared" si="5"/>
        <v>1572722</v>
      </c>
    </row>
    <row r="10" spans="1:40">
      <c r="A10" s="39" t="s">
        <v>35</v>
      </c>
      <c r="B10" s="74">
        <v>9950126</v>
      </c>
      <c r="C10" s="74">
        <v>9900542</v>
      </c>
      <c r="D10" s="74">
        <v>7705481</v>
      </c>
      <c r="E10" s="74">
        <v>5094706</v>
      </c>
      <c r="F10" s="74">
        <v>5753434</v>
      </c>
      <c r="G10" s="74">
        <v>6641525</v>
      </c>
      <c r="H10" s="74">
        <v>8062770</v>
      </c>
      <c r="I10" s="74">
        <v>7456141</v>
      </c>
      <c r="J10" s="74">
        <v>10984201</v>
      </c>
      <c r="K10" s="74">
        <v>9438782</v>
      </c>
      <c r="L10" s="74">
        <v>7922624</v>
      </c>
      <c r="M10" s="74">
        <v>9142184</v>
      </c>
      <c r="N10" s="73">
        <f t="shared" si="3"/>
        <v>98052516</v>
      </c>
      <c r="O10" s="74">
        <v>11548321</v>
      </c>
      <c r="P10" s="74">
        <v>11655358</v>
      </c>
      <c r="Q10" s="74">
        <v>15560827</v>
      </c>
      <c r="R10" s="74">
        <v>12100909</v>
      </c>
      <c r="S10" s="129">
        <v>10949585</v>
      </c>
      <c r="T10" s="74">
        <v>7621068</v>
      </c>
      <c r="U10" s="74">
        <v>7305115</v>
      </c>
      <c r="V10" s="74">
        <v>7546737</v>
      </c>
      <c r="W10" s="74">
        <v>5258843</v>
      </c>
      <c r="X10" s="74">
        <v>5103856</v>
      </c>
      <c r="Y10" s="74">
        <v>3914775</v>
      </c>
      <c r="Z10" s="74">
        <f>242952+3657712</f>
        <v>3900664</v>
      </c>
      <c r="AA10" s="73">
        <f t="shared" si="4"/>
        <v>102466058</v>
      </c>
      <c r="AB10" s="74">
        <v>5810340</v>
      </c>
      <c r="AC10" s="74">
        <v>5323939</v>
      </c>
      <c r="AD10" s="74">
        <v>3481874</v>
      </c>
      <c r="AE10" s="74">
        <v>3894625</v>
      </c>
      <c r="AF10" s="129">
        <v>2897519</v>
      </c>
      <c r="AG10" s="74">
        <v>5827211</v>
      </c>
      <c r="AH10" s="74">
        <v>6235216</v>
      </c>
      <c r="AI10" s="74">
        <v>3833259</v>
      </c>
      <c r="AJ10" s="74"/>
      <c r="AK10" s="74"/>
      <c r="AL10" s="74"/>
      <c r="AM10" s="74"/>
      <c r="AN10" s="73">
        <f t="shared" si="5"/>
        <v>37303983</v>
      </c>
    </row>
    <row r="11" spans="1:40" collapsed="1">
      <c r="A11" s="67" t="s">
        <v>85</v>
      </c>
      <c r="B11" s="129">
        <f>B12+B13+B14+B15</f>
        <v>0</v>
      </c>
      <c r="C11" s="129">
        <f t="shared" ref="C11:L11" si="6">C12+C13+C14+C15</f>
        <v>0</v>
      </c>
      <c r="D11" s="129">
        <f t="shared" si="6"/>
        <v>0</v>
      </c>
      <c r="E11" s="129">
        <f t="shared" si="6"/>
        <v>0</v>
      </c>
      <c r="F11" s="129">
        <f t="shared" si="6"/>
        <v>199</v>
      </c>
      <c r="G11" s="129">
        <f t="shared" si="6"/>
        <v>604400</v>
      </c>
      <c r="H11" s="129">
        <f t="shared" si="6"/>
        <v>1810800</v>
      </c>
      <c r="I11" s="129">
        <f t="shared" si="6"/>
        <v>4657000</v>
      </c>
      <c r="J11" s="129">
        <f t="shared" si="6"/>
        <v>9351600</v>
      </c>
      <c r="K11" s="129">
        <f t="shared" si="6"/>
        <v>5243200</v>
      </c>
      <c r="L11" s="129">
        <f t="shared" si="6"/>
        <v>3597400</v>
      </c>
      <c r="M11" s="129">
        <f>M12+M15</f>
        <v>1839200</v>
      </c>
      <c r="N11" s="130">
        <f t="shared" si="3"/>
        <v>27103799</v>
      </c>
      <c r="O11" s="129">
        <f>O12+O13+O14+O15</f>
        <v>6653100</v>
      </c>
      <c r="P11" s="129">
        <f t="shared" ref="P11:Y11" si="7">P12+P13+P14+P15</f>
        <v>3971300</v>
      </c>
      <c r="Q11" s="129">
        <f t="shared" si="7"/>
        <v>4507900</v>
      </c>
      <c r="R11" s="129">
        <f t="shared" si="7"/>
        <v>4965000</v>
      </c>
      <c r="S11" s="129">
        <f t="shared" si="7"/>
        <v>8683608</v>
      </c>
      <c r="T11" s="129">
        <f t="shared" si="7"/>
        <v>6008627</v>
      </c>
      <c r="U11" s="129">
        <f t="shared" si="7"/>
        <v>6017301</v>
      </c>
      <c r="V11" s="129">
        <f t="shared" si="7"/>
        <v>5359293</v>
      </c>
      <c r="W11" s="129">
        <f t="shared" si="7"/>
        <v>1811571</v>
      </c>
      <c r="X11" s="129">
        <f t="shared" si="7"/>
        <v>1241093</v>
      </c>
      <c r="Y11" s="129">
        <f t="shared" si="7"/>
        <v>914555</v>
      </c>
      <c r="Z11" s="129">
        <f>Z12+Z15</f>
        <v>242310</v>
      </c>
      <c r="AA11" s="130">
        <f t="shared" si="4"/>
        <v>50375658</v>
      </c>
      <c r="AB11" s="129">
        <f>AB12+AB13+AB14+AB15</f>
        <v>681459</v>
      </c>
      <c r="AC11" s="129">
        <f t="shared" ref="AC11:AM11" si="8">AC12+AC13+AC14+AC15</f>
        <v>73742</v>
      </c>
      <c r="AD11" s="129">
        <f t="shared" si="8"/>
        <v>26194</v>
      </c>
      <c r="AE11" s="129">
        <f t="shared" si="8"/>
        <v>27731</v>
      </c>
      <c r="AF11" s="129">
        <f t="shared" si="8"/>
        <v>35240</v>
      </c>
      <c r="AG11" s="129">
        <f t="shared" si="8"/>
        <v>26873</v>
      </c>
      <c r="AH11" s="129">
        <f t="shared" si="8"/>
        <v>20530</v>
      </c>
      <c r="AI11" s="129">
        <f t="shared" si="8"/>
        <v>18387</v>
      </c>
      <c r="AJ11" s="129">
        <f t="shared" si="8"/>
        <v>0</v>
      </c>
      <c r="AK11" s="129">
        <f t="shared" si="8"/>
        <v>0</v>
      </c>
      <c r="AL11" s="129">
        <f t="shared" si="8"/>
        <v>0</v>
      </c>
      <c r="AM11" s="129">
        <f t="shared" si="8"/>
        <v>0</v>
      </c>
      <c r="AN11" s="130">
        <f t="shared" si="5"/>
        <v>910156</v>
      </c>
    </row>
    <row r="12" spans="1:40" hidden="1" outlineLevel="2">
      <c r="A12" s="37" t="s">
        <v>80</v>
      </c>
      <c r="B12" s="74"/>
      <c r="C12" s="74"/>
      <c r="D12" s="74"/>
      <c r="E12" s="74"/>
      <c r="F12" s="74"/>
      <c r="G12" s="74">
        <v>329000</v>
      </c>
      <c r="H12" s="74">
        <v>1100000</v>
      </c>
      <c r="I12" s="74">
        <v>2500000</v>
      </c>
      <c r="J12" s="74">
        <v>3100000</v>
      </c>
      <c r="K12" s="74">
        <v>2100000</v>
      </c>
      <c r="L12" s="74">
        <v>1100000</v>
      </c>
      <c r="M12" s="74">
        <v>1200000</v>
      </c>
      <c r="N12" s="73">
        <f t="shared" si="3"/>
        <v>11429000</v>
      </c>
      <c r="O12" s="74">
        <v>2300000</v>
      </c>
      <c r="P12" s="74">
        <v>1900000</v>
      </c>
      <c r="Q12" s="74">
        <v>2600000</v>
      </c>
      <c r="R12" s="74">
        <v>2800000</v>
      </c>
      <c r="S12" s="74">
        <v>5342618</v>
      </c>
      <c r="T12" s="74">
        <v>3330606</v>
      </c>
      <c r="U12" s="74">
        <v>2219234</v>
      </c>
      <c r="V12" s="74">
        <v>2049452</v>
      </c>
      <c r="W12" s="74">
        <v>97963</v>
      </c>
      <c r="X12" s="74">
        <v>11004</v>
      </c>
      <c r="Y12" s="74">
        <v>13253</v>
      </c>
      <c r="Z12" s="74">
        <f>16463+57849</f>
        <v>74312</v>
      </c>
      <c r="AA12" s="73">
        <f t="shared" si="4"/>
        <v>22738442</v>
      </c>
      <c r="AB12" s="74">
        <f>14388+104200</f>
        <v>118588</v>
      </c>
      <c r="AC12" s="74">
        <v>13135</v>
      </c>
      <c r="AD12" s="74">
        <v>13815</v>
      </c>
      <c r="AE12" s="74">
        <v>16438</v>
      </c>
      <c r="AF12" s="74">
        <v>23255</v>
      </c>
      <c r="AG12" s="74">
        <v>15072</v>
      </c>
      <c r="AH12" s="74">
        <v>11439</v>
      </c>
      <c r="AI12" s="74">
        <v>11561</v>
      </c>
      <c r="AJ12" s="74"/>
      <c r="AK12" s="74"/>
      <c r="AL12" s="74"/>
      <c r="AM12" s="74"/>
      <c r="AN12" s="73">
        <f t="shared" si="5"/>
        <v>223303</v>
      </c>
    </row>
    <row r="13" spans="1:40" hidden="1" outlineLevel="2">
      <c r="A13" s="37" t="s">
        <v>46</v>
      </c>
      <c r="B13" s="74"/>
      <c r="C13" s="74"/>
      <c r="D13" s="74"/>
      <c r="E13" s="74"/>
      <c r="F13" s="74"/>
      <c r="G13" s="74">
        <v>44700</v>
      </c>
      <c r="H13" s="74">
        <v>105900</v>
      </c>
      <c r="I13" s="74">
        <v>145300</v>
      </c>
      <c r="J13" s="74">
        <v>468500</v>
      </c>
      <c r="K13" s="74">
        <v>228400</v>
      </c>
      <c r="L13" s="74">
        <v>125300</v>
      </c>
      <c r="M13" s="74">
        <v>142000</v>
      </c>
      <c r="N13" s="73">
        <f t="shared" si="3"/>
        <v>1260100</v>
      </c>
      <c r="O13" s="74">
        <v>465300</v>
      </c>
      <c r="P13" s="74">
        <v>401100</v>
      </c>
      <c r="Q13" s="74">
        <v>117900</v>
      </c>
      <c r="R13" s="74">
        <v>202500</v>
      </c>
      <c r="S13" s="74">
        <v>198006</v>
      </c>
      <c r="T13" s="74">
        <v>213120</v>
      </c>
      <c r="U13" s="74">
        <v>149598</v>
      </c>
      <c r="V13" s="74">
        <v>687536</v>
      </c>
      <c r="W13" s="74">
        <v>242075</v>
      </c>
      <c r="X13" s="74">
        <v>115902</v>
      </c>
      <c r="Y13" s="74">
        <v>368585</v>
      </c>
      <c r="Z13" s="74">
        <v>158675</v>
      </c>
      <c r="AA13" s="73">
        <f t="shared" si="4"/>
        <v>3320297</v>
      </c>
      <c r="AB13" s="74">
        <v>262177</v>
      </c>
      <c r="AC13" s="74">
        <v>7812</v>
      </c>
      <c r="AD13" s="74">
        <v>3031</v>
      </c>
      <c r="AE13" s="74">
        <v>2717</v>
      </c>
      <c r="AF13" s="74">
        <v>1556</v>
      </c>
      <c r="AG13" s="74">
        <v>725</v>
      </c>
      <c r="AH13" s="74">
        <v>739</v>
      </c>
      <c r="AI13" s="74">
        <v>984</v>
      </c>
      <c r="AJ13" s="74"/>
      <c r="AK13" s="74"/>
      <c r="AL13" s="74"/>
      <c r="AM13" s="74"/>
      <c r="AN13" s="73">
        <f t="shared" si="5"/>
        <v>279741</v>
      </c>
    </row>
    <row r="14" spans="1:40" hidden="1" outlineLevel="2">
      <c r="A14" s="37" t="s">
        <v>86</v>
      </c>
      <c r="B14" s="74"/>
      <c r="C14" s="74"/>
      <c r="D14" s="74"/>
      <c r="E14" s="74"/>
      <c r="F14" s="74">
        <v>199</v>
      </c>
      <c r="G14" s="74">
        <v>103600</v>
      </c>
      <c r="H14" s="74">
        <v>142600</v>
      </c>
      <c r="I14" s="74">
        <v>1500000</v>
      </c>
      <c r="J14" s="74">
        <v>5100000</v>
      </c>
      <c r="K14" s="74">
        <v>2300000</v>
      </c>
      <c r="L14" s="74">
        <v>1900000</v>
      </c>
      <c r="M14" s="74">
        <v>4000000</v>
      </c>
      <c r="N14" s="73">
        <f t="shared" si="3"/>
        <v>15046399</v>
      </c>
      <c r="O14" s="74">
        <v>3200000</v>
      </c>
      <c r="P14" s="74">
        <v>1300000</v>
      </c>
      <c r="Q14" s="74">
        <v>1400000</v>
      </c>
      <c r="R14" s="74">
        <v>1600000</v>
      </c>
      <c r="S14" s="74">
        <v>2495436</v>
      </c>
      <c r="T14" s="74">
        <v>2113001</v>
      </c>
      <c r="U14" s="74">
        <v>3054449</v>
      </c>
      <c r="V14" s="74">
        <v>2005900</v>
      </c>
      <c r="W14" s="74">
        <v>1137321</v>
      </c>
      <c r="X14" s="74">
        <v>922562</v>
      </c>
      <c r="Y14" s="74">
        <v>122585</v>
      </c>
      <c r="Z14" s="74">
        <v>197532</v>
      </c>
      <c r="AA14" s="73">
        <f t="shared" si="4"/>
        <v>19548786</v>
      </c>
      <c r="AB14" s="74">
        <v>292960</v>
      </c>
      <c r="AC14" s="74">
        <v>51312</v>
      </c>
      <c r="AD14" s="74">
        <v>7938</v>
      </c>
      <c r="AE14" s="74">
        <v>7199</v>
      </c>
      <c r="AF14" s="74">
        <v>7424</v>
      </c>
      <c r="AG14" s="74">
        <v>8605</v>
      </c>
      <c r="AH14" s="74">
        <v>7056</v>
      </c>
      <c r="AI14" s="74">
        <v>4826</v>
      </c>
      <c r="AJ14" s="74"/>
      <c r="AK14" s="74"/>
      <c r="AL14" s="74"/>
      <c r="AM14" s="74"/>
      <c r="AN14" s="73">
        <f t="shared" si="5"/>
        <v>387320</v>
      </c>
    </row>
    <row r="15" spans="1:40" hidden="1" outlineLevel="1" collapsed="1">
      <c r="A15" s="37" t="s">
        <v>87</v>
      </c>
      <c r="B15" s="74"/>
      <c r="C15" s="74"/>
      <c r="D15" s="74"/>
      <c r="E15" s="74"/>
      <c r="F15" s="74"/>
      <c r="G15" s="74">
        <v>127100</v>
      </c>
      <c r="H15" s="74">
        <v>462300</v>
      </c>
      <c r="I15" s="74">
        <v>511700</v>
      </c>
      <c r="J15" s="74">
        <v>683100</v>
      </c>
      <c r="K15" s="74">
        <v>614800</v>
      </c>
      <c r="L15" s="74">
        <v>472100</v>
      </c>
      <c r="M15" s="74">
        <v>639200</v>
      </c>
      <c r="N15" s="73">
        <f t="shared" si="3"/>
        <v>3510300</v>
      </c>
      <c r="O15" s="74">
        <v>687800</v>
      </c>
      <c r="P15" s="74">
        <v>370200</v>
      </c>
      <c r="Q15" s="74">
        <v>390000</v>
      </c>
      <c r="R15" s="74">
        <v>362500</v>
      </c>
      <c r="S15" s="74">
        <v>647548</v>
      </c>
      <c r="T15" s="74">
        <v>351900</v>
      </c>
      <c r="U15" s="74">
        <v>594020</v>
      </c>
      <c r="V15" s="74">
        <v>616405</v>
      </c>
      <c r="W15" s="74">
        <v>334212</v>
      </c>
      <c r="X15" s="74">
        <v>191625</v>
      </c>
      <c r="Y15" s="74">
        <v>410132</v>
      </c>
      <c r="Z15" s="74">
        <v>167998</v>
      </c>
      <c r="AA15" s="73">
        <f t="shared" si="4"/>
        <v>5124340</v>
      </c>
      <c r="AB15" s="74">
        <v>7734</v>
      </c>
      <c r="AC15" s="74">
        <v>1483</v>
      </c>
      <c r="AD15" s="74">
        <v>1410</v>
      </c>
      <c r="AE15" s="74">
        <v>1377</v>
      </c>
      <c r="AF15" s="74">
        <v>3005</v>
      </c>
      <c r="AG15" s="74">
        <v>2471</v>
      </c>
      <c r="AH15" s="74">
        <v>1296</v>
      </c>
      <c r="AI15" s="74">
        <v>1016</v>
      </c>
      <c r="AJ15" s="74"/>
      <c r="AK15" s="74"/>
      <c r="AL15" s="74"/>
      <c r="AM15" s="74"/>
      <c r="AN15" s="73">
        <f t="shared" si="5"/>
        <v>19792</v>
      </c>
    </row>
    <row r="16" spans="1:40" collapsed="1">
      <c r="A16" s="38" t="s">
        <v>88</v>
      </c>
      <c r="B16" s="74">
        <f>B17+B18+B19</f>
        <v>2524837</v>
      </c>
      <c r="C16" s="74">
        <f t="shared" ref="C16:M16" si="9">C17+C18+C19</f>
        <v>2807073</v>
      </c>
      <c r="D16" s="74">
        <f t="shared" si="9"/>
        <v>3357018</v>
      </c>
      <c r="E16" s="74">
        <f t="shared" si="9"/>
        <v>3705562</v>
      </c>
      <c r="F16" s="74">
        <f t="shared" si="9"/>
        <v>5517891</v>
      </c>
      <c r="G16" s="74">
        <f t="shared" si="9"/>
        <v>4962203</v>
      </c>
      <c r="H16" s="74">
        <f t="shared" si="9"/>
        <v>4193398</v>
      </c>
      <c r="I16" s="74">
        <f t="shared" si="9"/>
        <v>3416411</v>
      </c>
      <c r="J16" s="74">
        <f t="shared" si="9"/>
        <v>3189291</v>
      </c>
      <c r="K16" s="74">
        <f t="shared" si="9"/>
        <v>2622718</v>
      </c>
      <c r="L16" s="74">
        <f t="shared" si="9"/>
        <v>2359427</v>
      </c>
      <c r="M16" s="74">
        <f t="shared" si="9"/>
        <v>2943635</v>
      </c>
      <c r="N16" s="73">
        <f t="shared" si="3"/>
        <v>41599464</v>
      </c>
      <c r="O16" s="74">
        <f>O17+O18+O19</f>
        <v>1732851</v>
      </c>
      <c r="P16" s="74">
        <f t="shared" ref="P16:Z16" si="10">P17+P18+P19</f>
        <v>1190953</v>
      </c>
      <c r="Q16" s="74">
        <f t="shared" si="10"/>
        <v>0</v>
      </c>
      <c r="R16" s="74">
        <f t="shared" si="10"/>
        <v>838585</v>
      </c>
      <c r="S16" s="74">
        <f>S17+S18+S19</f>
        <v>1335429</v>
      </c>
      <c r="T16" s="74">
        <f t="shared" si="10"/>
        <v>1837100</v>
      </c>
      <c r="U16" s="74">
        <f t="shared" si="10"/>
        <v>1218310</v>
      </c>
      <c r="V16" s="74">
        <f t="shared" si="10"/>
        <v>1174291</v>
      </c>
      <c r="W16" s="74">
        <f t="shared" si="10"/>
        <v>1178839</v>
      </c>
      <c r="X16" s="74">
        <f t="shared" si="10"/>
        <v>904583</v>
      </c>
      <c r="Y16" s="74">
        <f t="shared" si="10"/>
        <v>1084364</v>
      </c>
      <c r="Z16" s="74">
        <f t="shared" si="10"/>
        <v>964541</v>
      </c>
      <c r="AA16" s="73">
        <f t="shared" si="4"/>
        <v>13459846</v>
      </c>
      <c r="AB16" s="74">
        <f>AB17+AB18+AB19</f>
        <v>576489</v>
      </c>
      <c r="AC16" s="74">
        <f t="shared" ref="AC16:AM16" si="11">AC17+AC18+AC19</f>
        <v>590094</v>
      </c>
      <c r="AD16" s="74">
        <f t="shared" si="11"/>
        <v>635297</v>
      </c>
      <c r="AE16" s="74">
        <f t="shared" si="11"/>
        <v>552562</v>
      </c>
      <c r="AF16" s="74">
        <f t="shared" si="11"/>
        <v>1727733</v>
      </c>
      <c r="AG16" s="74">
        <f t="shared" si="11"/>
        <v>3269627</v>
      </c>
      <c r="AH16" s="74">
        <f t="shared" si="11"/>
        <v>1903202</v>
      </c>
      <c r="AI16" s="74">
        <f t="shared" si="11"/>
        <v>3794200</v>
      </c>
      <c r="AJ16" s="74">
        <f t="shared" si="11"/>
        <v>0</v>
      </c>
      <c r="AK16" s="74">
        <f t="shared" si="11"/>
        <v>0</v>
      </c>
      <c r="AL16" s="74">
        <f t="shared" si="11"/>
        <v>0</v>
      </c>
      <c r="AM16" s="74">
        <f t="shared" si="11"/>
        <v>0</v>
      </c>
      <c r="AN16" s="73">
        <f t="shared" si="5"/>
        <v>13049204</v>
      </c>
    </row>
    <row r="17" spans="1:40" hidden="1" outlineLevel="1">
      <c r="A17" s="37" t="s">
        <v>79</v>
      </c>
      <c r="B17" s="74">
        <v>2080087</v>
      </c>
      <c r="C17" s="74">
        <v>2072949</v>
      </c>
      <c r="D17" s="74">
        <v>2511510</v>
      </c>
      <c r="E17" s="74">
        <v>2515149</v>
      </c>
      <c r="F17" s="74">
        <v>3923342</v>
      </c>
      <c r="G17" s="74">
        <v>3454682</v>
      </c>
      <c r="H17" s="74">
        <v>3301858</v>
      </c>
      <c r="I17" s="74">
        <v>2431797</v>
      </c>
      <c r="J17" s="74">
        <v>2220780</v>
      </c>
      <c r="K17" s="74">
        <v>1689275</v>
      </c>
      <c r="L17" s="74">
        <v>1489304</v>
      </c>
      <c r="M17" s="74">
        <v>2065146</v>
      </c>
      <c r="N17" s="73">
        <f t="shared" si="3"/>
        <v>29755879</v>
      </c>
      <c r="O17" s="74">
        <v>946508</v>
      </c>
      <c r="P17" s="74">
        <v>710491</v>
      </c>
      <c r="Q17" s="74"/>
      <c r="R17" s="74">
        <v>779263</v>
      </c>
      <c r="S17" s="74">
        <v>1234302</v>
      </c>
      <c r="T17" s="74">
        <v>1767597</v>
      </c>
      <c r="U17" s="74">
        <v>1174508</v>
      </c>
      <c r="V17" s="74">
        <v>1043057</v>
      </c>
      <c r="W17" s="74">
        <v>1042366</v>
      </c>
      <c r="X17" s="74">
        <v>729939</v>
      </c>
      <c r="Y17" s="74">
        <v>813365</v>
      </c>
      <c r="Z17" s="74">
        <v>798572</v>
      </c>
      <c r="AA17" s="73">
        <f t="shared" si="4"/>
        <v>11039968</v>
      </c>
      <c r="AB17" s="74">
        <v>381438</v>
      </c>
      <c r="AC17" s="74">
        <v>316200</v>
      </c>
      <c r="AD17" s="74">
        <v>411163</v>
      </c>
      <c r="AE17" s="74">
        <v>445750</v>
      </c>
      <c r="AF17" s="74">
        <v>1328645</v>
      </c>
      <c r="AG17" s="74">
        <v>2469918</v>
      </c>
      <c r="AH17" s="74">
        <v>1691134</v>
      </c>
      <c r="AI17" s="74">
        <v>3590639</v>
      </c>
      <c r="AJ17" s="74"/>
      <c r="AK17" s="74"/>
      <c r="AL17" s="74"/>
      <c r="AM17" s="74"/>
      <c r="AN17" s="73">
        <f t="shared" si="5"/>
        <v>10634887</v>
      </c>
    </row>
    <row r="18" spans="1:40" hidden="1" outlineLevel="1">
      <c r="A18" s="37" t="s">
        <v>89</v>
      </c>
      <c r="B18" s="74">
        <v>99999</v>
      </c>
      <c r="C18" s="74">
        <v>20507</v>
      </c>
      <c r="D18" s="74">
        <v>31750</v>
      </c>
      <c r="E18" s="74">
        <v>111708</v>
      </c>
      <c r="F18" s="74">
        <v>71477</v>
      </c>
      <c r="G18" s="74"/>
      <c r="H18" s="74">
        <v>38213</v>
      </c>
      <c r="I18" s="74">
        <v>6510</v>
      </c>
      <c r="J18" s="74">
        <v>20548</v>
      </c>
      <c r="K18" s="74">
        <v>289403</v>
      </c>
      <c r="L18" s="74">
        <v>154852</v>
      </c>
      <c r="M18" s="74">
        <v>381648</v>
      </c>
      <c r="N18" s="73">
        <f t="shared" si="3"/>
        <v>1226615</v>
      </c>
      <c r="O18" s="74">
        <v>384760</v>
      </c>
      <c r="P18" s="74">
        <v>120064</v>
      </c>
      <c r="Q18" s="74"/>
      <c r="R18" s="74">
        <v>659</v>
      </c>
      <c r="S18" s="74">
        <v>1879</v>
      </c>
      <c r="T18" s="74">
        <v>1878</v>
      </c>
      <c r="U18" s="74">
        <v>24241</v>
      </c>
      <c r="V18" s="74">
        <v>12650</v>
      </c>
      <c r="W18" s="74">
        <v>13398</v>
      </c>
      <c r="X18" s="74">
        <v>32670</v>
      </c>
      <c r="Y18" s="74">
        <v>45689</v>
      </c>
      <c r="Z18" s="74">
        <v>2660</v>
      </c>
      <c r="AA18" s="73">
        <f t="shared" si="4"/>
        <v>640548</v>
      </c>
      <c r="AB18" s="74">
        <v>2579</v>
      </c>
      <c r="AC18" s="74">
        <v>3498</v>
      </c>
      <c r="AD18" s="74">
        <v>1450</v>
      </c>
      <c r="AE18" s="74">
        <v>1248</v>
      </c>
      <c r="AF18" s="74">
        <v>35576</v>
      </c>
      <c r="AG18" s="74">
        <v>50682</v>
      </c>
      <c r="AH18" s="74">
        <v>26758</v>
      </c>
      <c r="AI18" s="74">
        <v>9163</v>
      </c>
      <c r="AJ18" s="74"/>
      <c r="AK18" s="74"/>
      <c r="AL18" s="74"/>
      <c r="AM18" s="74"/>
      <c r="AN18" s="73">
        <f t="shared" si="5"/>
        <v>130954</v>
      </c>
    </row>
    <row r="19" spans="1:40" hidden="1" outlineLevel="1">
      <c r="A19" s="37" t="s">
        <v>90</v>
      </c>
      <c r="B19" s="74">
        <v>344751</v>
      </c>
      <c r="C19" s="74">
        <v>713617</v>
      </c>
      <c r="D19" s="74">
        <v>813758</v>
      </c>
      <c r="E19" s="74">
        <v>1078705</v>
      </c>
      <c r="F19" s="74">
        <v>1523072</v>
      </c>
      <c r="G19" s="74">
        <v>1507521</v>
      </c>
      <c r="H19" s="74">
        <v>853327</v>
      </c>
      <c r="I19" s="74">
        <v>978104</v>
      </c>
      <c r="J19" s="74">
        <v>947963</v>
      </c>
      <c r="K19" s="74">
        <v>644040</v>
      </c>
      <c r="L19" s="74">
        <v>715271</v>
      </c>
      <c r="M19" s="74">
        <v>496841</v>
      </c>
      <c r="N19" s="73">
        <f t="shared" si="3"/>
        <v>10616970</v>
      </c>
      <c r="O19" s="74">
        <v>401583</v>
      </c>
      <c r="P19" s="74">
        <v>360398</v>
      </c>
      <c r="Q19" s="74"/>
      <c r="R19" s="74">
        <v>58663</v>
      </c>
      <c r="S19" s="74">
        <v>99248</v>
      </c>
      <c r="T19" s="74">
        <v>67625</v>
      </c>
      <c r="U19" s="74">
        <v>19561</v>
      </c>
      <c r="V19" s="74">
        <v>118584</v>
      </c>
      <c r="W19" s="74">
        <v>123075</v>
      </c>
      <c r="X19" s="74">
        <v>141974</v>
      </c>
      <c r="Y19" s="74">
        <v>225310</v>
      </c>
      <c r="Z19" s="74">
        <v>163309</v>
      </c>
      <c r="AA19" s="73">
        <f t="shared" si="4"/>
        <v>1779330</v>
      </c>
      <c r="AB19" s="74">
        <v>192472</v>
      </c>
      <c r="AC19" s="74">
        <v>270396</v>
      </c>
      <c r="AD19" s="74">
        <v>222684</v>
      </c>
      <c r="AE19" s="74">
        <v>105564</v>
      </c>
      <c r="AF19" s="74">
        <v>363512</v>
      </c>
      <c r="AG19" s="74">
        <v>749027</v>
      </c>
      <c r="AH19" s="74">
        <v>185310</v>
      </c>
      <c r="AI19" s="74">
        <v>194398</v>
      </c>
      <c r="AJ19" s="74"/>
      <c r="AK19" s="74"/>
      <c r="AL19" s="74"/>
      <c r="AM19" s="74"/>
      <c r="AN19" s="73">
        <f t="shared" si="5"/>
        <v>2283363</v>
      </c>
    </row>
    <row r="20" spans="1:40" collapsed="1">
      <c r="A20" s="67" t="s">
        <v>113</v>
      </c>
      <c r="B20" s="129">
        <f>B21+B22+B23+B24+B27+B28</f>
        <v>17625814</v>
      </c>
      <c r="C20" s="129">
        <f t="shared" ref="C20:M20" si="12">C21+C22+C23+C24+C27+C28</f>
        <v>22142276</v>
      </c>
      <c r="D20" s="129">
        <f t="shared" si="12"/>
        <v>19755734</v>
      </c>
      <c r="E20" s="129">
        <f t="shared" si="12"/>
        <v>17389569</v>
      </c>
      <c r="F20" s="129">
        <f t="shared" si="12"/>
        <v>18950747</v>
      </c>
      <c r="G20" s="129">
        <f t="shared" si="12"/>
        <v>15059683</v>
      </c>
      <c r="H20" s="129">
        <f t="shared" si="12"/>
        <v>19859448</v>
      </c>
      <c r="I20" s="129">
        <f t="shared" si="12"/>
        <v>17331802</v>
      </c>
      <c r="J20" s="129">
        <f t="shared" si="12"/>
        <v>24687988</v>
      </c>
      <c r="K20" s="129">
        <f t="shared" si="12"/>
        <v>20070930</v>
      </c>
      <c r="L20" s="129">
        <f t="shared" si="12"/>
        <v>28046147</v>
      </c>
      <c r="M20" s="129">
        <f t="shared" si="12"/>
        <v>31060028</v>
      </c>
      <c r="N20" s="130">
        <f t="shared" si="3"/>
        <v>251980166</v>
      </c>
      <c r="O20" s="129">
        <f>O21+O22+O23+O24+O27+O28</f>
        <v>27765723</v>
      </c>
      <c r="P20" s="129">
        <f t="shared" ref="P20:Z20" si="13">P21+P22+P23+P24+P27+P28</f>
        <v>18701113</v>
      </c>
      <c r="Q20" s="129">
        <f t="shared" si="13"/>
        <v>27886429</v>
      </c>
      <c r="R20" s="129">
        <f t="shared" si="13"/>
        <v>22796337</v>
      </c>
      <c r="S20" s="129">
        <f t="shared" si="13"/>
        <v>20306873</v>
      </c>
      <c r="T20" s="129">
        <f t="shared" si="13"/>
        <v>21455351</v>
      </c>
      <c r="U20" s="129">
        <f>U21+U22+U23+U24+U27+U28+U25+U26</f>
        <v>28875064</v>
      </c>
      <c r="V20" s="129">
        <f t="shared" si="13"/>
        <v>20994596</v>
      </c>
      <c r="W20" s="129">
        <f t="shared" si="13"/>
        <v>24700137</v>
      </c>
      <c r="X20" s="129">
        <f t="shared" si="13"/>
        <v>36277025</v>
      </c>
      <c r="Y20" s="129">
        <f t="shared" si="13"/>
        <v>33181070</v>
      </c>
      <c r="Z20" s="129">
        <f t="shared" si="13"/>
        <v>35471308</v>
      </c>
      <c r="AA20" s="130">
        <f t="shared" si="4"/>
        <v>318411026</v>
      </c>
      <c r="AB20" s="129">
        <f>AB21+AB22+AB23+AB24+AB25+AB26+AB27+AB28</f>
        <v>35346950</v>
      </c>
      <c r="AC20" s="129">
        <f t="shared" ref="AC20:AM20" si="14">AC21+AC22+AC23+AC24+AC25+AC26+AC27+AC28</f>
        <v>47658446</v>
      </c>
      <c r="AD20" s="129">
        <f t="shared" si="14"/>
        <v>71456023</v>
      </c>
      <c r="AE20" s="129">
        <f t="shared" si="14"/>
        <v>55687484</v>
      </c>
      <c r="AF20" s="129">
        <f t="shared" si="14"/>
        <v>40241398</v>
      </c>
      <c r="AG20" s="129">
        <f t="shared" si="14"/>
        <v>41656097</v>
      </c>
      <c r="AH20" s="129">
        <f t="shared" si="14"/>
        <v>43639502</v>
      </c>
      <c r="AI20" s="129">
        <f t="shared" si="14"/>
        <v>30739160</v>
      </c>
      <c r="AJ20" s="129">
        <f t="shared" si="14"/>
        <v>0</v>
      </c>
      <c r="AK20" s="129">
        <f t="shared" si="14"/>
        <v>0</v>
      </c>
      <c r="AL20" s="129">
        <f t="shared" si="14"/>
        <v>0</v>
      </c>
      <c r="AM20" s="129">
        <f t="shared" si="14"/>
        <v>0</v>
      </c>
      <c r="AN20" s="130">
        <f t="shared" si="5"/>
        <v>366425060</v>
      </c>
    </row>
    <row r="21" spans="1:40" hidden="1" outlineLevel="1">
      <c r="A21" s="38" t="s">
        <v>150</v>
      </c>
      <c r="B21" s="74">
        <v>2601308</v>
      </c>
      <c r="C21" s="74">
        <v>3230579</v>
      </c>
      <c r="D21" s="74">
        <v>2384934</v>
      </c>
      <c r="E21" s="74">
        <v>1028575</v>
      </c>
      <c r="F21" s="74">
        <v>1434251</v>
      </c>
      <c r="G21" s="74">
        <v>185229</v>
      </c>
      <c r="H21" s="74">
        <v>2547161</v>
      </c>
      <c r="I21" s="74">
        <v>1205164</v>
      </c>
      <c r="J21" s="74">
        <v>1630425</v>
      </c>
      <c r="K21" s="74">
        <v>1054319</v>
      </c>
      <c r="L21" s="74">
        <v>1272509</v>
      </c>
      <c r="M21" s="74">
        <v>1495117</v>
      </c>
      <c r="N21" s="73">
        <f t="shared" si="3"/>
        <v>20069571</v>
      </c>
      <c r="O21" s="74">
        <v>1224015</v>
      </c>
      <c r="P21" s="74">
        <v>1128833</v>
      </c>
      <c r="Q21" s="74">
        <v>1307098</v>
      </c>
      <c r="R21" s="74">
        <v>1365131</v>
      </c>
      <c r="S21" s="74">
        <v>1363722</v>
      </c>
      <c r="T21" s="74">
        <v>969252</v>
      </c>
      <c r="U21" s="74">
        <v>1607528</v>
      </c>
      <c r="V21" s="74">
        <v>834365</v>
      </c>
      <c r="W21" s="74">
        <v>1278170</v>
      </c>
      <c r="X21" s="74">
        <v>1287848</v>
      </c>
      <c r="Y21" s="74">
        <v>633642</v>
      </c>
      <c r="Z21" s="74">
        <v>395758</v>
      </c>
      <c r="AA21" s="73">
        <f t="shared" si="4"/>
        <v>13395362</v>
      </c>
      <c r="AB21" s="74">
        <v>987306</v>
      </c>
      <c r="AC21" s="74">
        <v>671974</v>
      </c>
      <c r="AD21" s="74">
        <v>473187</v>
      </c>
      <c r="AE21" s="74">
        <v>339105</v>
      </c>
      <c r="AF21" s="74">
        <v>362837</v>
      </c>
      <c r="AG21" s="74">
        <v>693175</v>
      </c>
      <c r="AH21" s="74">
        <v>450723</v>
      </c>
      <c r="AI21" s="74">
        <v>256062</v>
      </c>
      <c r="AJ21" s="74"/>
      <c r="AK21" s="74"/>
      <c r="AL21" s="74"/>
      <c r="AM21" s="74"/>
      <c r="AN21" s="73">
        <f t="shared" si="5"/>
        <v>4234369</v>
      </c>
    </row>
    <row r="22" spans="1:40" hidden="1" outlineLevel="1">
      <c r="A22" s="38" t="s">
        <v>151</v>
      </c>
      <c r="B22" s="74">
        <v>14880292</v>
      </c>
      <c r="C22" s="74">
        <v>18822264</v>
      </c>
      <c r="D22" s="74">
        <v>17251342</v>
      </c>
      <c r="E22" s="74">
        <v>16123567</v>
      </c>
      <c r="F22" s="74">
        <v>15276366</v>
      </c>
      <c r="G22" s="74">
        <v>13897220</v>
      </c>
      <c r="H22" s="74">
        <v>15480757</v>
      </c>
      <c r="I22" s="74">
        <v>13947510</v>
      </c>
      <c r="J22" s="74">
        <v>19048949</v>
      </c>
      <c r="K22" s="74">
        <v>16963089</v>
      </c>
      <c r="L22" s="74">
        <v>17320261</v>
      </c>
      <c r="M22" s="74">
        <v>16330629</v>
      </c>
      <c r="N22" s="73">
        <f t="shared" si="3"/>
        <v>195342246</v>
      </c>
      <c r="O22" s="74">
        <v>15487551</v>
      </c>
      <c r="P22" s="74">
        <v>9522789</v>
      </c>
      <c r="Q22" s="74">
        <v>17755545</v>
      </c>
      <c r="R22" s="74">
        <v>13454796</v>
      </c>
      <c r="S22" s="74">
        <v>14994491</v>
      </c>
      <c r="T22" s="74">
        <v>15378116</v>
      </c>
      <c r="U22" s="74">
        <v>19772297</v>
      </c>
      <c r="V22" s="74">
        <v>16548756</v>
      </c>
      <c r="W22" s="74">
        <v>19194613</v>
      </c>
      <c r="X22" s="74">
        <v>30680946</v>
      </c>
      <c r="Y22" s="74">
        <v>31436964</v>
      </c>
      <c r="Z22" s="74">
        <v>33747614</v>
      </c>
      <c r="AA22" s="73">
        <f t="shared" si="4"/>
        <v>237974478</v>
      </c>
      <c r="AB22" s="74">
        <v>32035098</v>
      </c>
      <c r="AC22" s="74">
        <v>44121479</v>
      </c>
      <c r="AD22" s="74">
        <v>67126374</v>
      </c>
      <c r="AE22" s="74">
        <v>51420721</v>
      </c>
      <c r="AF22" s="74">
        <v>34250110</v>
      </c>
      <c r="AG22" s="74">
        <v>33312920</v>
      </c>
      <c r="AH22" s="74">
        <v>37563858</v>
      </c>
      <c r="AI22" s="74">
        <v>27750508</v>
      </c>
      <c r="AJ22" s="74"/>
      <c r="AK22" s="74"/>
      <c r="AL22" s="74"/>
      <c r="AM22" s="74"/>
      <c r="AN22" s="73">
        <f t="shared" si="5"/>
        <v>327581068</v>
      </c>
    </row>
    <row r="23" spans="1:40" hidden="1" outlineLevel="1">
      <c r="A23" s="38" t="s">
        <v>115</v>
      </c>
      <c r="B23" s="74">
        <v>143642</v>
      </c>
      <c r="C23" s="74">
        <v>88521</v>
      </c>
      <c r="D23" s="74">
        <v>117425</v>
      </c>
      <c r="E23" s="74">
        <v>218407</v>
      </c>
      <c r="F23" s="74">
        <v>2120597</v>
      </c>
      <c r="G23" s="74">
        <v>775579</v>
      </c>
      <c r="H23" s="74">
        <v>1593635</v>
      </c>
      <c r="I23" s="74">
        <v>1699953</v>
      </c>
      <c r="J23" s="74">
        <v>3350945</v>
      </c>
      <c r="K23" s="74">
        <v>1663744</v>
      </c>
      <c r="L23" s="74">
        <v>5599650</v>
      </c>
      <c r="M23" s="74">
        <v>10406475</v>
      </c>
      <c r="N23" s="73">
        <f t="shared" si="3"/>
        <v>27778573</v>
      </c>
      <c r="O23" s="74">
        <v>7636636</v>
      </c>
      <c r="P23" s="74">
        <v>5785110</v>
      </c>
      <c r="Q23" s="74">
        <v>6658309</v>
      </c>
      <c r="R23" s="74">
        <v>6111354</v>
      </c>
      <c r="S23" s="74">
        <v>2358741</v>
      </c>
      <c r="T23" s="74">
        <v>3613098</v>
      </c>
      <c r="U23" s="74">
        <v>4173084</v>
      </c>
      <c r="V23" s="74">
        <v>2183523</v>
      </c>
      <c r="W23" s="74">
        <v>3074722</v>
      </c>
      <c r="X23" s="74">
        <v>3337493</v>
      </c>
      <c r="Y23" s="74">
        <v>950131</v>
      </c>
      <c r="Z23" s="74">
        <v>1090150</v>
      </c>
      <c r="AA23" s="73">
        <f t="shared" si="4"/>
        <v>46972351</v>
      </c>
      <c r="AB23" s="74">
        <v>755917</v>
      </c>
      <c r="AC23" s="74">
        <v>1391539</v>
      </c>
      <c r="AD23" s="74">
        <v>2226003</v>
      </c>
      <c r="AE23" s="74">
        <v>2295017</v>
      </c>
      <c r="AF23" s="74">
        <v>3780596</v>
      </c>
      <c r="AG23" s="74">
        <v>4442523</v>
      </c>
      <c r="AH23" s="74">
        <v>3019372</v>
      </c>
      <c r="AI23" s="74">
        <v>988438</v>
      </c>
      <c r="AJ23" s="74"/>
      <c r="AK23" s="74"/>
      <c r="AL23" s="74"/>
      <c r="AM23" s="74"/>
      <c r="AN23" s="73">
        <f t="shared" si="5"/>
        <v>18899405</v>
      </c>
    </row>
    <row r="24" spans="1:40" hidden="1" outlineLevel="1">
      <c r="A24" s="38" t="s">
        <v>152</v>
      </c>
      <c r="B24" s="74">
        <v>572</v>
      </c>
      <c r="C24" s="74">
        <v>912</v>
      </c>
      <c r="D24" s="74">
        <v>2033</v>
      </c>
      <c r="E24" s="74">
        <v>19020</v>
      </c>
      <c r="F24" s="74">
        <v>119533</v>
      </c>
      <c r="G24" s="74">
        <v>201655</v>
      </c>
      <c r="H24" s="74">
        <v>237895</v>
      </c>
      <c r="I24" s="74">
        <v>479175</v>
      </c>
      <c r="J24" s="74">
        <v>657669</v>
      </c>
      <c r="K24" s="74">
        <v>389778</v>
      </c>
      <c r="L24" s="74">
        <v>3853727</v>
      </c>
      <c r="M24" s="74">
        <v>2827807</v>
      </c>
      <c r="N24" s="73">
        <f t="shared" si="3"/>
        <v>8789776</v>
      </c>
      <c r="O24" s="74">
        <v>2552404</v>
      </c>
      <c r="P24" s="74">
        <v>1200507</v>
      </c>
      <c r="Q24" s="74">
        <v>1189766</v>
      </c>
      <c r="R24" s="74">
        <v>1260866</v>
      </c>
      <c r="S24" s="74">
        <v>753566</v>
      </c>
      <c r="T24" s="74">
        <v>961276</v>
      </c>
      <c r="U24" s="74">
        <v>547867</v>
      </c>
      <c r="V24" s="74">
        <v>245825</v>
      </c>
      <c r="W24" s="74">
        <v>239380</v>
      </c>
      <c r="X24" s="74">
        <v>241536</v>
      </c>
      <c r="Y24" s="74">
        <v>39937</v>
      </c>
      <c r="Z24" s="74">
        <v>24769</v>
      </c>
      <c r="AA24" s="73">
        <f t="shared" si="4"/>
        <v>9257699</v>
      </c>
      <c r="AB24" s="74">
        <v>78769</v>
      </c>
      <c r="AC24" s="74">
        <v>12543</v>
      </c>
      <c r="AD24" s="74">
        <v>42533</v>
      </c>
      <c r="AE24" s="74">
        <v>17840</v>
      </c>
      <c r="AF24" s="74">
        <v>57277</v>
      </c>
      <c r="AG24" s="74">
        <v>91690</v>
      </c>
      <c r="AH24" s="74">
        <v>53790</v>
      </c>
      <c r="AI24" s="74">
        <v>4651</v>
      </c>
      <c r="AJ24" s="74"/>
      <c r="AK24" s="74"/>
      <c r="AL24" s="74"/>
      <c r="AM24" s="74"/>
      <c r="AN24" s="73">
        <f t="shared" si="5"/>
        <v>359093</v>
      </c>
    </row>
    <row r="25" spans="1:40" hidden="1" outlineLevel="1">
      <c r="A25" s="154" t="s">
        <v>226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6"/>
      <c r="O25" s="155"/>
      <c r="P25" s="155"/>
      <c r="Q25" s="155"/>
      <c r="R25" s="155"/>
      <c r="S25" s="155"/>
      <c r="T25" s="155"/>
      <c r="U25" s="155">
        <v>1547872</v>
      </c>
      <c r="V25" s="155">
        <v>1177966</v>
      </c>
      <c r="W25" s="155">
        <v>791219</v>
      </c>
      <c r="X25" s="155">
        <v>488095</v>
      </c>
      <c r="Y25" s="155">
        <v>893014</v>
      </c>
      <c r="Z25" s="155">
        <v>998488</v>
      </c>
      <c r="AA25" s="73">
        <f t="shared" si="4"/>
        <v>5896654</v>
      </c>
      <c r="AB25" s="155">
        <v>1433966</v>
      </c>
      <c r="AC25" s="155">
        <v>1453649</v>
      </c>
      <c r="AD25" s="155">
        <v>1557082</v>
      </c>
      <c r="AE25" s="155">
        <v>1612846</v>
      </c>
      <c r="AF25" s="155">
        <v>1787516</v>
      </c>
      <c r="AG25" s="155">
        <v>3114094</v>
      </c>
      <c r="AH25" s="155">
        <v>2550742</v>
      </c>
      <c r="AI25" s="155">
        <v>1739501</v>
      </c>
      <c r="AJ25" s="155"/>
      <c r="AK25" s="155"/>
      <c r="AL25" s="155"/>
      <c r="AM25" s="155"/>
      <c r="AN25" s="156">
        <f t="shared" si="5"/>
        <v>15249396</v>
      </c>
    </row>
    <row r="26" spans="1:40" hidden="1" outlineLevel="1">
      <c r="A26" s="154" t="s">
        <v>225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5"/>
      <c r="P26" s="155"/>
      <c r="Q26" s="155"/>
      <c r="R26" s="155"/>
      <c r="S26" s="155"/>
      <c r="T26" s="155"/>
      <c r="U26" s="155"/>
      <c r="V26" s="155">
        <v>38310</v>
      </c>
      <c r="W26" s="155">
        <v>26760</v>
      </c>
      <c r="X26" s="155">
        <v>41920</v>
      </c>
      <c r="Y26" s="155">
        <v>13810</v>
      </c>
      <c r="Z26" s="155">
        <v>6582</v>
      </c>
      <c r="AA26" s="73">
        <f t="shared" si="4"/>
        <v>127382</v>
      </c>
      <c r="AB26" s="155">
        <v>133</v>
      </c>
      <c r="AC26" s="155">
        <v>348</v>
      </c>
      <c r="AD26" s="155">
        <v>1828</v>
      </c>
      <c r="AE26" s="155">
        <v>1955</v>
      </c>
      <c r="AF26" s="155">
        <v>3062</v>
      </c>
      <c r="AG26" s="155">
        <v>1695</v>
      </c>
      <c r="AH26" s="155">
        <v>1017</v>
      </c>
      <c r="AI26" s="155">
        <v>0</v>
      </c>
      <c r="AJ26" s="155"/>
      <c r="AK26" s="155"/>
      <c r="AL26" s="155"/>
      <c r="AM26" s="155"/>
      <c r="AN26" s="156">
        <f t="shared" si="5"/>
        <v>10038</v>
      </c>
    </row>
    <row r="27" spans="1:40" hidden="1" outlineLevel="1">
      <c r="A27" s="38" t="s">
        <v>153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3">
        <f t="shared" si="3"/>
        <v>0</v>
      </c>
      <c r="O27" s="74">
        <v>699558</v>
      </c>
      <c r="P27" s="74">
        <v>930429</v>
      </c>
      <c r="Q27" s="74">
        <v>793227</v>
      </c>
      <c r="R27" s="74">
        <v>448221</v>
      </c>
      <c r="S27" s="74">
        <v>573688</v>
      </c>
      <c r="T27" s="74">
        <v>384297</v>
      </c>
      <c r="U27" s="74">
        <v>1112773</v>
      </c>
      <c r="V27" s="74">
        <v>1041200</v>
      </c>
      <c r="W27" s="74">
        <v>769561</v>
      </c>
      <c r="X27" s="74">
        <v>592271</v>
      </c>
      <c r="Y27" s="74">
        <v>108166</v>
      </c>
      <c r="Z27" s="74">
        <v>195503</v>
      </c>
      <c r="AA27" s="73">
        <f t="shared" si="4"/>
        <v>7648894</v>
      </c>
      <c r="AB27" s="74">
        <v>44390</v>
      </c>
      <c r="AC27" s="74">
        <v>6680</v>
      </c>
      <c r="AD27" s="74">
        <v>26636</v>
      </c>
      <c r="AE27" s="74">
        <v>0</v>
      </c>
      <c r="AF27" s="74"/>
      <c r="AG27" s="74"/>
      <c r="AH27" s="74"/>
      <c r="AI27" s="74"/>
      <c r="AJ27" s="74"/>
      <c r="AK27" s="74"/>
      <c r="AL27" s="74"/>
      <c r="AM27" s="74"/>
      <c r="AN27" s="73">
        <f t="shared" ref="AN27:AN69" si="15">SUM(AB27:AM27)</f>
        <v>77706</v>
      </c>
    </row>
    <row r="28" spans="1:40" hidden="1" outlineLevel="1">
      <c r="A28" s="38" t="s">
        <v>149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3">
        <f t="shared" si="3"/>
        <v>0</v>
      </c>
      <c r="O28" s="74">
        <v>165559</v>
      </c>
      <c r="P28" s="74">
        <v>133445</v>
      </c>
      <c r="Q28" s="74">
        <v>182484</v>
      </c>
      <c r="R28" s="74">
        <v>155969</v>
      </c>
      <c r="S28" s="74">
        <v>262665</v>
      </c>
      <c r="T28" s="74">
        <v>149312</v>
      </c>
      <c r="U28" s="74">
        <v>113643</v>
      </c>
      <c r="V28" s="74">
        <v>140927</v>
      </c>
      <c r="W28" s="74">
        <v>143691</v>
      </c>
      <c r="X28" s="74">
        <v>136931</v>
      </c>
      <c r="Y28" s="74">
        <v>12230</v>
      </c>
      <c r="Z28" s="74">
        <v>17514</v>
      </c>
      <c r="AA28" s="73">
        <f t="shared" si="4"/>
        <v>1614370</v>
      </c>
      <c r="AB28" s="74">
        <v>11371</v>
      </c>
      <c r="AC28" s="74">
        <v>234</v>
      </c>
      <c r="AD28" s="74">
        <v>2380</v>
      </c>
      <c r="AE28" s="74">
        <v>0</v>
      </c>
      <c r="AF28" s="74"/>
      <c r="AG28" s="74"/>
      <c r="AH28" s="74"/>
      <c r="AI28" s="74"/>
      <c r="AJ28" s="74"/>
      <c r="AK28" s="74"/>
      <c r="AL28" s="74"/>
      <c r="AM28" s="74"/>
      <c r="AN28" s="73">
        <f t="shared" si="15"/>
        <v>13985</v>
      </c>
    </row>
    <row r="29" spans="1:40" collapsed="1">
      <c r="A29" s="37" t="s">
        <v>91</v>
      </c>
      <c r="B29" s="74">
        <f>B30+B31+B32</f>
        <v>6700691</v>
      </c>
      <c r="C29" s="74">
        <f t="shared" ref="C29:M29" si="16">C30+C31+C32</f>
        <v>6931879</v>
      </c>
      <c r="D29" s="74">
        <f t="shared" si="16"/>
        <v>6129859</v>
      </c>
      <c r="E29" s="74">
        <f t="shared" si="16"/>
        <v>9258640</v>
      </c>
      <c r="F29" s="74">
        <f t="shared" si="16"/>
        <v>11396766</v>
      </c>
      <c r="G29" s="74">
        <f t="shared" si="16"/>
        <v>10979694</v>
      </c>
      <c r="H29" s="74">
        <f t="shared" si="16"/>
        <v>8169952</v>
      </c>
      <c r="I29" s="74">
        <f t="shared" si="16"/>
        <v>7190026</v>
      </c>
      <c r="J29" s="74">
        <f t="shared" si="16"/>
        <v>7512846</v>
      </c>
      <c r="K29" s="74">
        <f t="shared" si="16"/>
        <v>8311357</v>
      </c>
      <c r="L29" s="74">
        <f t="shared" si="16"/>
        <v>9403794</v>
      </c>
      <c r="M29" s="74">
        <f t="shared" si="16"/>
        <v>8700072</v>
      </c>
      <c r="N29" s="73">
        <f t="shared" si="3"/>
        <v>100685576</v>
      </c>
      <c r="O29" s="74">
        <f>O30+O31+O32</f>
        <v>9214239</v>
      </c>
      <c r="P29" s="74">
        <f t="shared" ref="P29:Z29" si="17">P30+P31+P32</f>
        <v>5475881</v>
      </c>
      <c r="Q29" s="74">
        <f t="shared" si="17"/>
        <v>4009816</v>
      </c>
      <c r="R29" s="74">
        <f t="shared" si="17"/>
        <v>3320352</v>
      </c>
      <c r="S29" s="74">
        <f t="shared" si="17"/>
        <v>5387096</v>
      </c>
      <c r="T29" s="74">
        <f t="shared" si="17"/>
        <v>4615617</v>
      </c>
      <c r="U29" s="74">
        <f t="shared" si="17"/>
        <v>6412021</v>
      </c>
      <c r="V29" s="74">
        <f t="shared" si="17"/>
        <v>1392575</v>
      </c>
      <c r="W29" s="74">
        <f t="shared" si="17"/>
        <v>0</v>
      </c>
      <c r="X29" s="74">
        <f t="shared" si="17"/>
        <v>0</v>
      </c>
      <c r="Y29" s="74">
        <f t="shared" si="17"/>
        <v>0</v>
      </c>
      <c r="Z29" s="74">
        <f t="shared" si="17"/>
        <v>0</v>
      </c>
      <c r="AA29" s="73">
        <f t="shared" si="4"/>
        <v>39827597</v>
      </c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3">
        <f t="shared" si="15"/>
        <v>0</v>
      </c>
    </row>
    <row r="30" spans="1:40" hidden="1" outlineLevel="1">
      <c r="A30" s="38" t="s">
        <v>92</v>
      </c>
      <c r="B30" s="74">
        <v>2016143</v>
      </c>
      <c r="C30" s="74">
        <v>2305664</v>
      </c>
      <c r="D30" s="74">
        <v>1734180</v>
      </c>
      <c r="E30" s="74">
        <v>3449609</v>
      </c>
      <c r="F30" s="74">
        <v>3131354</v>
      </c>
      <c r="G30" s="74">
        <v>3007389</v>
      </c>
      <c r="H30" s="74">
        <v>3349022</v>
      </c>
      <c r="I30" s="74">
        <v>3680646</v>
      </c>
      <c r="J30" s="74">
        <v>3079132</v>
      </c>
      <c r="K30" s="74">
        <v>2731881</v>
      </c>
      <c r="L30" s="74">
        <v>2869285</v>
      </c>
      <c r="M30" s="74">
        <v>1736196</v>
      </c>
      <c r="N30" s="73">
        <f t="shared" si="3"/>
        <v>33090501</v>
      </c>
      <c r="O30" s="74">
        <v>1797684</v>
      </c>
      <c r="P30" s="74">
        <v>1666893</v>
      </c>
      <c r="Q30" s="74">
        <v>481992</v>
      </c>
      <c r="R30" s="74">
        <v>336821</v>
      </c>
      <c r="S30" s="74">
        <v>531459</v>
      </c>
      <c r="T30" s="74">
        <v>253704</v>
      </c>
      <c r="U30" s="74">
        <v>610155</v>
      </c>
      <c r="V30" s="74">
        <v>153922</v>
      </c>
      <c r="W30" s="74">
        <v>0</v>
      </c>
      <c r="X30" s="74">
        <v>0</v>
      </c>
      <c r="Y30" s="74"/>
      <c r="Z30" s="74"/>
      <c r="AA30" s="73">
        <f t="shared" si="4"/>
        <v>5832630</v>
      </c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3">
        <f t="shared" si="15"/>
        <v>0</v>
      </c>
    </row>
    <row r="31" spans="1:40" hidden="1" outlineLevel="1">
      <c r="A31" s="38" t="s">
        <v>93</v>
      </c>
      <c r="B31" s="74">
        <v>581557</v>
      </c>
      <c r="C31" s="74">
        <v>710174</v>
      </c>
      <c r="D31" s="74">
        <v>812193</v>
      </c>
      <c r="E31" s="74">
        <v>753838</v>
      </c>
      <c r="F31" s="74">
        <v>956992</v>
      </c>
      <c r="G31" s="74">
        <v>1400143</v>
      </c>
      <c r="H31" s="74">
        <v>1534220</v>
      </c>
      <c r="I31" s="74">
        <v>1796718</v>
      </c>
      <c r="J31" s="74">
        <v>1704140</v>
      </c>
      <c r="K31" s="74">
        <v>1794110</v>
      </c>
      <c r="L31" s="74">
        <v>1789518</v>
      </c>
      <c r="M31" s="74">
        <v>2173505</v>
      </c>
      <c r="N31" s="73">
        <f t="shared" si="3"/>
        <v>16007108</v>
      </c>
      <c r="O31" s="74">
        <v>3752424</v>
      </c>
      <c r="P31" s="74">
        <v>2812833</v>
      </c>
      <c r="Q31" s="74">
        <v>3024910</v>
      </c>
      <c r="R31" s="74">
        <v>2411195</v>
      </c>
      <c r="S31" s="74">
        <v>3900628</v>
      </c>
      <c r="T31" s="74">
        <v>3284231</v>
      </c>
      <c r="U31" s="74">
        <v>4007601</v>
      </c>
      <c r="V31" s="74">
        <v>965745</v>
      </c>
      <c r="W31" s="74">
        <v>0</v>
      </c>
      <c r="X31" s="74">
        <v>0</v>
      </c>
      <c r="Y31" s="74"/>
      <c r="Z31" s="74"/>
      <c r="AA31" s="73">
        <f t="shared" si="4"/>
        <v>24159567</v>
      </c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3">
        <f t="shared" si="15"/>
        <v>0</v>
      </c>
    </row>
    <row r="32" spans="1:40" hidden="1" outlineLevel="1">
      <c r="A32" s="38" t="s">
        <v>94</v>
      </c>
      <c r="B32" s="74">
        <v>4102991</v>
      </c>
      <c r="C32" s="74">
        <v>3916041</v>
      </c>
      <c r="D32" s="74">
        <v>3583486</v>
      </c>
      <c r="E32" s="74">
        <v>5055193</v>
      </c>
      <c r="F32" s="74">
        <v>7308420</v>
      </c>
      <c r="G32" s="74">
        <v>6572162</v>
      </c>
      <c r="H32" s="74">
        <v>3286710</v>
      </c>
      <c r="I32" s="74">
        <v>1712662</v>
      </c>
      <c r="J32" s="74">
        <v>2729574</v>
      </c>
      <c r="K32" s="74">
        <v>3785366</v>
      </c>
      <c r="L32" s="74">
        <v>4744991</v>
      </c>
      <c r="M32" s="74">
        <v>4790371</v>
      </c>
      <c r="N32" s="73">
        <f t="shared" si="3"/>
        <v>51587967</v>
      </c>
      <c r="O32" s="74">
        <v>3664131</v>
      </c>
      <c r="P32" s="74">
        <v>996155</v>
      </c>
      <c r="Q32" s="74">
        <v>502914</v>
      </c>
      <c r="R32" s="74">
        <v>572336</v>
      </c>
      <c r="S32" s="74">
        <v>955009</v>
      </c>
      <c r="T32" s="74">
        <v>1077682</v>
      </c>
      <c r="U32" s="74">
        <v>1794265</v>
      </c>
      <c r="V32" s="74">
        <v>272908</v>
      </c>
      <c r="W32" s="74">
        <v>0</v>
      </c>
      <c r="X32" s="74">
        <v>0</v>
      </c>
      <c r="Y32" s="74"/>
      <c r="Z32" s="74"/>
      <c r="AA32" s="73">
        <f t="shared" si="4"/>
        <v>9835400</v>
      </c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3">
        <f t="shared" si="15"/>
        <v>0</v>
      </c>
    </row>
    <row r="33" spans="1:40" collapsed="1">
      <c r="A33" s="67" t="s">
        <v>111</v>
      </c>
      <c r="B33" s="129">
        <f>B34+B35+B36+B37+B38</f>
        <v>0</v>
      </c>
      <c r="C33" s="129">
        <f t="shared" ref="C33:M33" si="18">C34+C35+C36+C37+C38</f>
        <v>0</v>
      </c>
      <c r="D33" s="129">
        <f t="shared" si="18"/>
        <v>0</v>
      </c>
      <c r="E33" s="129">
        <f t="shared" si="18"/>
        <v>0</v>
      </c>
      <c r="F33" s="129">
        <f t="shared" si="18"/>
        <v>0</v>
      </c>
      <c r="G33" s="129">
        <f t="shared" si="18"/>
        <v>0</v>
      </c>
      <c r="H33" s="129">
        <f t="shared" si="18"/>
        <v>6969000</v>
      </c>
      <c r="I33" s="129">
        <f t="shared" si="18"/>
        <v>8979000</v>
      </c>
      <c r="J33" s="129">
        <f t="shared" si="18"/>
        <v>5620500</v>
      </c>
      <c r="K33" s="129">
        <f t="shared" si="18"/>
        <v>8856500</v>
      </c>
      <c r="L33" s="129">
        <f t="shared" si="18"/>
        <v>6260700</v>
      </c>
      <c r="M33" s="129">
        <f t="shared" si="18"/>
        <v>5876500</v>
      </c>
      <c r="N33" s="130">
        <f t="shared" si="3"/>
        <v>42562200</v>
      </c>
      <c r="O33" s="129">
        <f>O34+O35+O36+O37+O38</f>
        <v>7540000</v>
      </c>
      <c r="P33" s="129">
        <f t="shared" ref="P33:Z33" si="19">P34+P35+P36+P37+P38</f>
        <v>3138030</v>
      </c>
      <c r="Q33" s="129">
        <f t="shared" si="19"/>
        <v>2376000</v>
      </c>
      <c r="R33" s="129">
        <f t="shared" si="19"/>
        <v>5635000</v>
      </c>
      <c r="S33" s="129">
        <f t="shared" si="19"/>
        <v>10700000</v>
      </c>
      <c r="T33" s="129">
        <f t="shared" si="19"/>
        <v>6399000</v>
      </c>
      <c r="U33" s="129">
        <f t="shared" si="19"/>
        <v>5555000</v>
      </c>
      <c r="V33" s="129">
        <f t="shared" si="19"/>
        <v>1568700</v>
      </c>
      <c r="W33" s="129">
        <f t="shared" si="19"/>
        <v>3589000</v>
      </c>
      <c r="X33" s="129">
        <f t="shared" si="19"/>
        <v>1556000</v>
      </c>
      <c r="Y33" s="129">
        <f t="shared" si="19"/>
        <v>1051000</v>
      </c>
      <c r="Z33" s="129">
        <f t="shared" si="19"/>
        <v>1039800</v>
      </c>
      <c r="AA33" s="130">
        <f t="shared" si="4"/>
        <v>50147530</v>
      </c>
      <c r="AB33" s="129">
        <f>AB34+AB35+AB37+AB38</f>
        <v>115017</v>
      </c>
      <c r="AC33" s="129">
        <f t="shared" ref="AC33:AM33" si="20">AC34+AC35+AC37+AC38</f>
        <v>101774</v>
      </c>
      <c r="AD33" s="129">
        <f t="shared" si="20"/>
        <v>189766</v>
      </c>
      <c r="AE33" s="129">
        <f t="shared" si="20"/>
        <v>222609</v>
      </c>
      <c r="AF33" s="129">
        <f t="shared" si="20"/>
        <v>249624</v>
      </c>
      <c r="AG33" s="129">
        <f t="shared" si="20"/>
        <v>0</v>
      </c>
      <c r="AH33" s="129">
        <f t="shared" si="20"/>
        <v>0</v>
      </c>
      <c r="AI33" s="129">
        <f t="shared" si="20"/>
        <v>0</v>
      </c>
      <c r="AJ33" s="129">
        <f t="shared" si="20"/>
        <v>0</v>
      </c>
      <c r="AK33" s="129">
        <f t="shared" si="20"/>
        <v>0</v>
      </c>
      <c r="AL33" s="129">
        <f t="shared" si="20"/>
        <v>0</v>
      </c>
      <c r="AM33" s="129">
        <f t="shared" si="20"/>
        <v>0</v>
      </c>
      <c r="AN33" s="130">
        <f t="shared" si="15"/>
        <v>878790</v>
      </c>
    </row>
    <row r="34" spans="1:40" hidden="1" outlineLevel="1">
      <c r="A34" s="33" t="s">
        <v>47</v>
      </c>
      <c r="B34" s="74"/>
      <c r="C34" s="74"/>
      <c r="D34" s="74"/>
      <c r="E34" s="74"/>
      <c r="F34" s="74"/>
      <c r="G34" s="74"/>
      <c r="H34" s="74">
        <v>4850000</v>
      </c>
      <c r="I34" s="74">
        <v>1810000</v>
      </c>
      <c r="J34" s="74">
        <v>1050000</v>
      </c>
      <c r="K34" s="74">
        <v>655000</v>
      </c>
      <c r="L34" s="74">
        <v>481000</v>
      </c>
      <c r="M34" s="74">
        <v>780000</v>
      </c>
      <c r="N34" s="73">
        <f t="shared" si="3"/>
        <v>9626000</v>
      </c>
      <c r="O34" s="74">
        <v>382000</v>
      </c>
      <c r="P34" s="74">
        <v>478000</v>
      </c>
      <c r="Q34" s="74">
        <v>455000</v>
      </c>
      <c r="R34" s="74">
        <v>515000</v>
      </c>
      <c r="S34" s="74">
        <v>239000</v>
      </c>
      <c r="T34" s="74">
        <v>196000</v>
      </c>
      <c r="U34" s="74">
        <v>265000</v>
      </c>
      <c r="V34" s="74">
        <v>93700</v>
      </c>
      <c r="W34" s="74">
        <v>199000</v>
      </c>
      <c r="X34" s="74">
        <v>113000</v>
      </c>
      <c r="Y34" s="74">
        <v>110000</v>
      </c>
      <c r="Z34" s="74">
        <v>122000</v>
      </c>
      <c r="AA34" s="73">
        <f t="shared" si="4"/>
        <v>3167700</v>
      </c>
      <c r="AB34" s="74">
        <v>7460</v>
      </c>
      <c r="AC34" s="74">
        <v>5030</v>
      </c>
      <c r="AD34" s="74">
        <v>1430</v>
      </c>
      <c r="AE34" s="74">
        <v>647</v>
      </c>
      <c r="AF34" s="74">
        <v>264</v>
      </c>
      <c r="AG34" s="74"/>
      <c r="AH34" s="74"/>
      <c r="AI34" s="74"/>
      <c r="AJ34" s="74"/>
      <c r="AK34" s="74"/>
      <c r="AL34" s="74"/>
      <c r="AM34" s="74"/>
      <c r="AN34" s="73">
        <f t="shared" si="15"/>
        <v>14831</v>
      </c>
    </row>
    <row r="35" spans="1:40" hidden="1" outlineLevel="1">
      <c r="A35" s="33" t="s">
        <v>48</v>
      </c>
      <c r="B35" s="74"/>
      <c r="C35" s="74"/>
      <c r="D35" s="74"/>
      <c r="E35" s="74"/>
      <c r="F35" s="74"/>
      <c r="G35" s="74"/>
      <c r="H35" s="74">
        <v>1800000</v>
      </c>
      <c r="I35" s="74">
        <v>6830000</v>
      </c>
      <c r="J35" s="74">
        <v>4570000</v>
      </c>
      <c r="K35" s="74">
        <v>8200000</v>
      </c>
      <c r="L35" s="74">
        <v>5620000</v>
      </c>
      <c r="M35" s="74">
        <v>4410000</v>
      </c>
      <c r="N35" s="73">
        <f t="shared" si="3"/>
        <v>31430000</v>
      </c>
      <c r="O35" s="74">
        <v>5680000</v>
      </c>
      <c r="P35" s="74">
        <v>2030000</v>
      </c>
      <c r="Q35" s="74">
        <v>1600000</v>
      </c>
      <c r="R35" s="74">
        <v>3870000</v>
      </c>
      <c r="S35" s="74">
        <v>8460000</v>
      </c>
      <c r="T35" s="74">
        <v>5160000</v>
      </c>
      <c r="U35" s="74">
        <v>4560000</v>
      </c>
      <c r="V35" s="74">
        <v>697000</v>
      </c>
      <c r="W35" s="74">
        <v>2570000</v>
      </c>
      <c r="X35" s="74">
        <v>1100000</v>
      </c>
      <c r="Y35" s="74">
        <v>460000</v>
      </c>
      <c r="Z35" s="74">
        <v>521000</v>
      </c>
      <c r="AA35" s="73">
        <f t="shared" si="4"/>
        <v>36708000</v>
      </c>
      <c r="AB35" s="74">
        <v>60000</v>
      </c>
      <c r="AC35" s="74">
        <v>57600</v>
      </c>
      <c r="AD35" s="74">
        <v>129000</v>
      </c>
      <c r="AE35" s="74">
        <v>143000</v>
      </c>
      <c r="AF35" s="74">
        <v>235000</v>
      </c>
      <c r="AG35" s="74"/>
      <c r="AH35" s="74"/>
      <c r="AI35" s="74"/>
      <c r="AJ35" s="74"/>
      <c r="AK35" s="74"/>
      <c r="AL35" s="74"/>
      <c r="AM35" s="74"/>
      <c r="AN35" s="73">
        <f t="shared" si="15"/>
        <v>624600</v>
      </c>
    </row>
    <row r="36" spans="1:40" hidden="1" outlineLevel="1">
      <c r="A36" s="33" t="s">
        <v>49</v>
      </c>
      <c r="B36" s="74"/>
      <c r="C36" s="74"/>
      <c r="D36" s="74"/>
      <c r="E36" s="74"/>
      <c r="F36" s="74"/>
      <c r="G36" s="74"/>
      <c r="H36" s="74">
        <v>319000</v>
      </c>
      <c r="I36" s="74">
        <v>339000</v>
      </c>
      <c r="J36" s="74">
        <v>500</v>
      </c>
      <c r="K36" s="74">
        <v>500</v>
      </c>
      <c r="L36" s="74">
        <v>500</v>
      </c>
      <c r="M36" s="74">
        <v>500</v>
      </c>
      <c r="N36" s="73">
        <f t="shared" si="3"/>
        <v>660000</v>
      </c>
      <c r="O36" s="74">
        <v>0</v>
      </c>
      <c r="P36" s="74">
        <v>30</v>
      </c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3">
        <f t="shared" si="4"/>
        <v>30</v>
      </c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3">
        <f t="shared" si="15"/>
        <v>0</v>
      </c>
    </row>
    <row r="37" spans="1:40" hidden="1" outlineLevel="1">
      <c r="A37" s="33" t="s">
        <v>64</v>
      </c>
      <c r="B37" s="74"/>
      <c r="C37" s="74"/>
      <c r="D37" s="74"/>
      <c r="E37" s="74"/>
      <c r="F37" s="74"/>
      <c r="G37" s="74"/>
      <c r="H37" s="74"/>
      <c r="I37" s="74"/>
      <c r="J37" s="74"/>
      <c r="K37" s="74">
        <v>500</v>
      </c>
      <c r="L37" s="74">
        <v>67400</v>
      </c>
      <c r="M37" s="74">
        <v>559000</v>
      </c>
      <c r="N37" s="73">
        <f t="shared" si="3"/>
        <v>626900</v>
      </c>
      <c r="O37" s="74">
        <v>1170000</v>
      </c>
      <c r="P37" s="74">
        <v>386000</v>
      </c>
      <c r="Q37" s="74">
        <v>197000</v>
      </c>
      <c r="R37" s="74">
        <v>610000</v>
      </c>
      <c r="S37" s="74">
        <v>1470000</v>
      </c>
      <c r="T37" s="74">
        <v>687000</v>
      </c>
      <c r="U37" s="74">
        <v>488000</v>
      </c>
      <c r="V37" s="74">
        <v>320000</v>
      </c>
      <c r="W37" s="74">
        <v>317000</v>
      </c>
      <c r="X37" s="74">
        <v>227000</v>
      </c>
      <c r="Y37" s="74">
        <v>276000</v>
      </c>
      <c r="Z37" s="74">
        <v>371000</v>
      </c>
      <c r="AA37" s="73">
        <f t="shared" si="4"/>
        <v>6519000</v>
      </c>
      <c r="AB37" s="74">
        <v>47200</v>
      </c>
      <c r="AC37" s="74">
        <v>38900</v>
      </c>
      <c r="AD37" s="74">
        <v>59000</v>
      </c>
      <c r="AE37" s="74">
        <v>78800</v>
      </c>
      <c r="AF37" s="74">
        <v>14300</v>
      </c>
      <c r="AG37" s="74"/>
      <c r="AH37" s="74"/>
      <c r="AI37" s="74"/>
      <c r="AJ37" s="74"/>
      <c r="AK37" s="74"/>
      <c r="AL37" s="74"/>
      <c r="AM37" s="74"/>
      <c r="AN37" s="73">
        <f t="shared" si="15"/>
        <v>238200</v>
      </c>
    </row>
    <row r="38" spans="1:40" hidden="1" outlineLevel="1">
      <c r="A38" s="33" t="s">
        <v>65</v>
      </c>
      <c r="B38" s="74"/>
      <c r="C38" s="74"/>
      <c r="D38" s="74"/>
      <c r="E38" s="74"/>
      <c r="F38" s="74"/>
      <c r="G38" s="74"/>
      <c r="H38" s="74"/>
      <c r="I38" s="74"/>
      <c r="J38" s="74"/>
      <c r="K38" s="74">
        <v>500</v>
      </c>
      <c r="L38" s="74">
        <v>91800</v>
      </c>
      <c r="M38" s="74">
        <v>127000</v>
      </c>
      <c r="N38" s="73">
        <f t="shared" si="3"/>
        <v>219300</v>
      </c>
      <c r="O38" s="74">
        <v>308000</v>
      </c>
      <c r="P38" s="74">
        <v>244000</v>
      </c>
      <c r="Q38" s="74">
        <v>124000</v>
      </c>
      <c r="R38" s="74">
        <v>640000</v>
      </c>
      <c r="S38" s="74">
        <v>531000</v>
      </c>
      <c r="T38" s="74">
        <v>356000</v>
      </c>
      <c r="U38" s="74">
        <v>242000</v>
      </c>
      <c r="V38" s="74">
        <v>458000</v>
      </c>
      <c r="W38" s="74">
        <v>503000</v>
      </c>
      <c r="X38" s="74">
        <v>116000</v>
      </c>
      <c r="Y38" s="74">
        <v>205000</v>
      </c>
      <c r="Z38" s="74">
        <v>25800</v>
      </c>
      <c r="AA38" s="73">
        <f t="shared" si="4"/>
        <v>3752800</v>
      </c>
      <c r="AB38" s="74">
        <v>357</v>
      </c>
      <c r="AC38" s="74">
        <v>244</v>
      </c>
      <c r="AD38" s="74">
        <v>336</v>
      </c>
      <c r="AE38" s="74">
        <v>162</v>
      </c>
      <c r="AF38" s="74">
        <v>60</v>
      </c>
      <c r="AG38" s="74"/>
      <c r="AH38" s="74"/>
      <c r="AI38" s="74"/>
      <c r="AJ38" s="74"/>
      <c r="AK38" s="74"/>
      <c r="AL38" s="74"/>
      <c r="AM38" s="74"/>
      <c r="AN38" s="73">
        <f t="shared" si="15"/>
        <v>1159</v>
      </c>
    </row>
    <row r="39" spans="1:40">
      <c r="A39" s="37" t="s">
        <v>110</v>
      </c>
      <c r="B39" s="74">
        <f>B42+B40+B41</f>
        <v>13800000</v>
      </c>
      <c r="C39" s="74">
        <f t="shared" ref="C39:M39" si="21">C42+C40+C41</f>
        <v>8903555</v>
      </c>
      <c r="D39" s="74">
        <f t="shared" si="21"/>
        <v>8083758</v>
      </c>
      <c r="E39" s="74">
        <f t="shared" si="21"/>
        <v>9134013</v>
      </c>
      <c r="F39" s="74">
        <f t="shared" si="21"/>
        <v>9392284</v>
      </c>
      <c r="G39" s="74">
        <f t="shared" si="21"/>
        <v>15885601</v>
      </c>
      <c r="H39" s="74">
        <f t="shared" si="21"/>
        <v>16203843</v>
      </c>
      <c r="I39" s="74">
        <f t="shared" si="21"/>
        <v>10359638</v>
      </c>
      <c r="J39" s="74">
        <f t="shared" si="21"/>
        <v>19361748</v>
      </c>
      <c r="K39" s="74">
        <f t="shared" si="21"/>
        <v>10662446</v>
      </c>
      <c r="L39" s="74">
        <f t="shared" si="21"/>
        <v>7755689</v>
      </c>
      <c r="M39" s="74">
        <f t="shared" si="21"/>
        <v>9916385</v>
      </c>
      <c r="N39" s="73">
        <f t="shared" si="3"/>
        <v>139458960</v>
      </c>
      <c r="O39" s="74">
        <f>O42+O40+O41</f>
        <v>11095720</v>
      </c>
      <c r="P39" s="74">
        <f t="shared" ref="P39:Z39" si="22">P42+P40+P41</f>
        <v>5705222</v>
      </c>
      <c r="Q39" s="74">
        <f t="shared" si="22"/>
        <v>3858890</v>
      </c>
      <c r="R39" s="74">
        <f t="shared" si="22"/>
        <v>3115057</v>
      </c>
      <c r="S39" s="74">
        <f t="shared" si="22"/>
        <v>4716350</v>
      </c>
      <c r="T39" s="74">
        <f t="shared" si="22"/>
        <v>3975314</v>
      </c>
      <c r="U39" s="74">
        <f t="shared" si="22"/>
        <v>0</v>
      </c>
      <c r="V39" s="74">
        <f t="shared" si="22"/>
        <v>0</v>
      </c>
      <c r="W39" s="74">
        <f t="shared" si="22"/>
        <v>2178364</v>
      </c>
      <c r="X39" s="74">
        <f t="shared" si="22"/>
        <v>1100274</v>
      </c>
      <c r="Y39" s="74">
        <f t="shared" si="22"/>
        <v>1582404</v>
      </c>
      <c r="Z39" s="74">
        <f t="shared" si="22"/>
        <v>1616686</v>
      </c>
      <c r="AA39" s="73">
        <f t="shared" si="4"/>
        <v>38944281</v>
      </c>
      <c r="AB39" s="74">
        <f>AB40+AB41+AB42</f>
        <v>578570</v>
      </c>
      <c r="AC39" s="74">
        <f t="shared" ref="AC39:AM39" si="23">AC40+AC41+AC42</f>
        <v>645014</v>
      </c>
      <c r="AD39" s="74">
        <f t="shared" si="23"/>
        <v>368898</v>
      </c>
      <c r="AE39" s="74">
        <f t="shared" si="23"/>
        <v>402221</v>
      </c>
      <c r="AF39" s="74">
        <f t="shared" si="23"/>
        <v>429595</v>
      </c>
      <c r="AG39" s="74">
        <f t="shared" si="23"/>
        <v>319201</v>
      </c>
      <c r="AH39" s="74">
        <f t="shared" si="23"/>
        <v>21650</v>
      </c>
      <c r="AI39" s="74">
        <f t="shared" si="23"/>
        <v>16016</v>
      </c>
      <c r="AJ39" s="74">
        <f t="shared" si="23"/>
        <v>0</v>
      </c>
      <c r="AK39" s="74">
        <f t="shared" si="23"/>
        <v>0</v>
      </c>
      <c r="AL39" s="74">
        <f t="shared" si="23"/>
        <v>0</v>
      </c>
      <c r="AM39" s="74">
        <f t="shared" si="23"/>
        <v>0</v>
      </c>
      <c r="AN39" s="73">
        <f t="shared" si="15"/>
        <v>2781165</v>
      </c>
    </row>
    <row r="40" spans="1:40" outlineLevel="1">
      <c r="A40" s="38" t="s">
        <v>96</v>
      </c>
      <c r="B40" s="74">
        <f>1300000+9900000</f>
        <v>11200000</v>
      </c>
      <c r="C40" s="74">
        <f>6600000+1200000</f>
        <v>7800000</v>
      </c>
      <c r="D40" s="74">
        <v>7300000</v>
      </c>
      <c r="E40" s="74">
        <v>8100000</v>
      </c>
      <c r="F40" s="74">
        <v>7900000</v>
      </c>
      <c r="G40" s="74">
        <v>5500000</v>
      </c>
      <c r="H40" s="74">
        <v>7800000</v>
      </c>
      <c r="I40" s="74">
        <v>6400000</v>
      </c>
      <c r="J40" s="74">
        <v>9100000</v>
      </c>
      <c r="K40" s="74">
        <v>6900000</v>
      </c>
      <c r="L40" s="74">
        <v>4900000</v>
      </c>
      <c r="M40" s="74">
        <v>6800000</v>
      </c>
      <c r="N40" s="73">
        <f t="shared" si="3"/>
        <v>89700000</v>
      </c>
      <c r="O40" s="74">
        <v>7988075</v>
      </c>
      <c r="P40" s="74">
        <v>4234669</v>
      </c>
      <c r="Q40" s="74">
        <v>2802017</v>
      </c>
      <c r="R40" s="74">
        <v>2690972</v>
      </c>
      <c r="S40" s="74">
        <f>325038+4109475</f>
        <v>4434513</v>
      </c>
      <c r="T40" s="74">
        <v>3589861</v>
      </c>
      <c r="U40" s="74"/>
      <c r="V40" s="74"/>
      <c r="W40" s="74">
        <v>2041056</v>
      </c>
      <c r="X40" s="74">
        <v>993383</v>
      </c>
      <c r="Y40" s="74">
        <v>1359509</v>
      </c>
      <c r="Z40" s="74">
        <v>1454753</v>
      </c>
      <c r="AA40" s="73">
        <f t="shared" si="4"/>
        <v>31588808</v>
      </c>
      <c r="AB40" s="74">
        <v>527057</v>
      </c>
      <c r="AC40" s="74">
        <v>600779</v>
      </c>
      <c r="AD40" s="74">
        <v>331163</v>
      </c>
      <c r="AE40" s="74">
        <v>380109</v>
      </c>
      <c r="AF40" s="74">
        <v>413719</v>
      </c>
      <c r="AG40" s="74">
        <v>306694</v>
      </c>
      <c r="AH40" s="74">
        <v>14056</v>
      </c>
      <c r="AI40" s="74">
        <v>9912</v>
      </c>
      <c r="AJ40" s="74"/>
      <c r="AK40" s="74"/>
      <c r="AL40" s="74"/>
      <c r="AM40" s="74"/>
      <c r="AN40" s="73">
        <f t="shared" si="15"/>
        <v>2583489</v>
      </c>
    </row>
    <row r="41" spans="1:40" outlineLevel="1">
      <c r="A41" s="38" t="s">
        <v>97</v>
      </c>
      <c r="B41" s="74">
        <v>1000000</v>
      </c>
      <c r="C41" s="74">
        <v>648232</v>
      </c>
      <c r="D41" s="74">
        <v>452786</v>
      </c>
      <c r="E41" s="74">
        <v>345544</v>
      </c>
      <c r="F41" s="74">
        <v>841949</v>
      </c>
      <c r="G41" s="74">
        <v>10000000</v>
      </c>
      <c r="H41" s="74">
        <v>8300000</v>
      </c>
      <c r="I41" s="74">
        <v>3900000</v>
      </c>
      <c r="J41" s="74">
        <v>10100000</v>
      </c>
      <c r="K41" s="74">
        <v>3700000</v>
      </c>
      <c r="L41" s="74">
        <v>2800000</v>
      </c>
      <c r="M41" s="74">
        <v>3100000</v>
      </c>
      <c r="N41" s="73">
        <f t="shared" si="3"/>
        <v>45188511</v>
      </c>
      <c r="O41" s="74">
        <v>2948597</v>
      </c>
      <c r="P41" s="74">
        <v>1396044</v>
      </c>
      <c r="Q41" s="74">
        <v>1017609</v>
      </c>
      <c r="R41" s="74">
        <v>368374</v>
      </c>
      <c r="S41" s="74">
        <v>247535</v>
      </c>
      <c r="T41" s="74">
        <v>349511</v>
      </c>
      <c r="U41" s="74"/>
      <c r="V41" s="74"/>
      <c r="W41" s="74">
        <v>120016</v>
      </c>
      <c r="X41" s="74">
        <v>91845</v>
      </c>
      <c r="Y41" s="74">
        <v>165450</v>
      </c>
      <c r="Z41" s="74">
        <v>121541</v>
      </c>
      <c r="AA41" s="73">
        <f t="shared" si="4"/>
        <v>6826522</v>
      </c>
      <c r="AB41" s="74">
        <v>43250</v>
      </c>
      <c r="AC41" s="74">
        <v>30539</v>
      </c>
      <c r="AD41" s="74">
        <v>23843</v>
      </c>
      <c r="AE41" s="74">
        <v>14271</v>
      </c>
      <c r="AF41" s="74">
        <v>11149</v>
      </c>
      <c r="AG41" s="74">
        <v>9315</v>
      </c>
      <c r="AH41" s="74">
        <v>5508</v>
      </c>
      <c r="AI41" s="74">
        <v>5053</v>
      </c>
      <c r="AJ41" s="74"/>
      <c r="AK41" s="74"/>
      <c r="AL41" s="74"/>
      <c r="AM41" s="74"/>
      <c r="AN41" s="73">
        <f t="shared" si="15"/>
        <v>142928</v>
      </c>
    </row>
    <row r="42" spans="1:40" outlineLevel="1">
      <c r="A42" s="38" t="s">
        <v>98</v>
      </c>
      <c r="B42" s="74">
        <v>1600000</v>
      </c>
      <c r="C42" s="74">
        <v>455323</v>
      </c>
      <c r="D42" s="74">
        <v>330972</v>
      </c>
      <c r="E42" s="74">
        <v>688469</v>
      </c>
      <c r="F42" s="74">
        <v>650335</v>
      </c>
      <c r="G42" s="74">
        <v>385601</v>
      </c>
      <c r="H42" s="74">
        <v>103843</v>
      </c>
      <c r="I42" s="74">
        <v>59638</v>
      </c>
      <c r="J42" s="74">
        <v>161748</v>
      </c>
      <c r="K42" s="74">
        <v>62446</v>
      </c>
      <c r="L42" s="74">
        <v>55689</v>
      </c>
      <c r="M42" s="74">
        <v>16385</v>
      </c>
      <c r="N42" s="73">
        <f t="shared" si="3"/>
        <v>4570449</v>
      </c>
      <c r="O42" s="74">
        <v>159048</v>
      </c>
      <c r="P42" s="74">
        <v>74509</v>
      </c>
      <c r="Q42" s="74">
        <v>39264</v>
      </c>
      <c r="R42" s="74">
        <v>55711</v>
      </c>
      <c r="S42" s="74">
        <v>34302</v>
      </c>
      <c r="T42" s="74">
        <v>35942</v>
      </c>
      <c r="U42" s="74"/>
      <c r="V42" s="74"/>
      <c r="W42" s="74">
        <v>17292</v>
      </c>
      <c r="X42" s="74">
        <v>15046</v>
      </c>
      <c r="Y42" s="74">
        <v>57445</v>
      </c>
      <c r="Z42" s="74">
        <v>40392</v>
      </c>
      <c r="AA42" s="73">
        <f t="shared" si="4"/>
        <v>528951</v>
      </c>
      <c r="AB42" s="74">
        <v>8263</v>
      </c>
      <c r="AC42" s="74">
        <v>13696</v>
      </c>
      <c r="AD42" s="74">
        <v>13892</v>
      </c>
      <c r="AE42" s="74">
        <v>7841</v>
      </c>
      <c r="AF42" s="74">
        <v>4727</v>
      </c>
      <c r="AG42" s="74">
        <v>3192</v>
      </c>
      <c r="AH42" s="74">
        <v>2086</v>
      </c>
      <c r="AI42" s="74">
        <v>1051</v>
      </c>
      <c r="AJ42" s="74"/>
      <c r="AK42" s="74"/>
      <c r="AL42" s="74"/>
      <c r="AM42" s="74"/>
      <c r="AN42" s="73">
        <f t="shared" si="15"/>
        <v>54748</v>
      </c>
    </row>
    <row r="43" spans="1:40">
      <c r="A43" s="67" t="s">
        <v>99</v>
      </c>
      <c r="B43" s="129">
        <f>B44+B54+B58</f>
        <v>6637047</v>
      </c>
      <c r="C43" s="129">
        <f t="shared" ref="C43:M43" si="24">C44+C54+C58</f>
        <v>5547833</v>
      </c>
      <c r="D43" s="129">
        <f t="shared" si="24"/>
        <v>5522213</v>
      </c>
      <c r="E43" s="129">
        <f t="shared" si="24"/>
        <v>7500238</v>
      </c>
      <c r="F43" s="129">
        <f t="shared" si="24"/>
        <v>6652345</v>
      </c>
      <c r="G43" s="129">
        <f t="shared" si="24"/>
        <v>6509724</v>
      </c>
      <c r="H43" s="129">
        <f t="shared" si="24"/>
        <v>3159809</v>
      </c>
      <c r="I43" s="129">
        <f t="shared" si="24"/>
        <v>6584446</v>
      </c>
      <c r="J43" s="129">
        <f t="shared" si="24"/>
        <v>22046297</v>
      </c>
      <c r="K43" s="129">
        <f t="shared" si="24"/>
        <v>8146349</v>
      </c>
      <c r="L43" s="129">
        <f t="shared" si="24"/>
        <v>7581793</v>
      </c>
      <c r="M43" s="129">
        <f t="shared" si="24"/>
        <v>8199822</v>
      </c>
      <c r="N43" s="130">
        <f t="shared" si="3"/>
        <v>94087916</v>
      </c>
      <c r="O43" s="129">
        <f>O44+O54+O58</f>
        <v>9213800</v>
      </c>
      <c r="P43" s="129">
        <f t="shared" ref="P43:Z43" si="25">P44+P54+P58</f>
        <v>7535086</v>
      </c>
      <c r="Q43" s="129">
        <f t="shared" si="25"/>
        <v>9286627</v>
      </c>
      <c r="R43" s="129">
        <f t="shared" si="25"/>
        <v>7643088</v>
      </c>
      <c r="S43" s="129">
        <f t="shared" si="25"/>
        <v>7396798</v>
      </c>
      <c r="T43" s="129">
        <f t="shared" si="25"/>
        <v>5304745</v>
      </c>
      <c r="U43" s="129">
        <f t="shared" si="25"/>
        <v>4428054</v>
      </c>
      <c r="V43" s="129">
        <f t="shared" si="25"/>
        <v>4362943</v>
      </c>
      <c r="W43" s="129">
        <f t="shared" si="25"/>
        <v>4150631</v>
      </c>
      <c r="X43" s="129">
        <f t="shared" si="25"/>
        <v>3535379</v>
      </c>
      <c r="Y43" s="129">
        <f t="shared" si="25"/>
        <v>3051596</v>
      </c>
      <c r="Z43" s="129">
        <f t="shared" si="25"/>
        <v>2405421</v>
      </c>
      <c r="AA43" s="130">
        <f t="shared" si="4"/>
        <v>68314168</v>
      </c>
      <c r="AB43" s="129">
        <f>AB44+AB54+AB58</f>
        <v>3250819</v>
      </c>
      <c r="AC43" s="129">
        <f t="shared" ref="AC43:AM43" si="26">AC44+AC54+AC58</f>
        <v>2796044</v>
      </c>
      <c r="AD43" s="129">
        <f t="shared" si="26"/>
        <v>2735948</v>
      </c>
      <c r="AE43" s="129">
        <f t="shared" si="26"/>
        <v>2472878</v>
      </c>
      <c r="AF43" s="129">
        <f t="shared" si="26"/>
        <v>2230149</v>
      </c>
      <c r="AG43" s="129">
        <f t="shared" si="26"/>
        <v>0</v>
      </c>
      <c r="AH43" s="129">
        <f t="shared" si="26"/>
        <v>0</v>
      </c>
      <c r="AI43" s="129">
        <f t="shared" si="26"/>
        <v>0</v>
      </c>
      <c r="AJ43" s="129">
        <f t="shared" si="26"/>
        <v>0</v>
      </c>
      <c r="AK43" s="129">
        <f t="shared" si="26"/>
        <v>0</v>
      </c>
      <c r="AL43" s="129">
        <f t="shared" si="26"/>
        <v>0</v>
      </c>
      <c r="AM43" s="129">
        <f t="shared" si="26"/>
        <v>0</v>
      </c>
      <c r="AN43" s="130">
        <f t="shared" si="15"/>
        <v>13485838</v>
      </c>
    </row>
    <row r="44" spans="1:40" collapsed="1">
      <c r="A44" s="67" t="s">
        <v>100</v>
      </c>
      <c r="B44" s="129">
        <f>B45+B46+B47+B48+B49+B50+B51+B52+B53</f>
        <v>4152631</v>
      </c>
      <c r="C44" s="129">
        <f t="shared" ref="C44:M44" si="27">C45+C46+C47+C48+C49+C50+C51+C52+C53</f>
        <v>3696119</v>
      </c>
      <c r="D44" s="129">
        <f t="shared" si="27"/>
        <v>4517138</v>
      </c>
      <c r="E44" s="129">
        <f t="shared" si="27"/>
        <v>6198935</v>
      </c>
      <c r="F44" s="129">
        <f t="shared" si="27"/>
        <v>6095362</v>
      </c>
      <c r="G44" s="129">
        <f t="shared" si="27"/>
        <v>5350511</v>
      </c>
      <c r="H44" s="129">
        <f t="shared" si="27"/>
        <v>1604035</v>
      </c>
      <c r="I44" s="129">
        <f t="shared" si="27"/>
        <v>4918371</v>
      </c>
      <c r="J44" s="129">
        <f t="shared" si="27"/>
        <v>10188705</v>
      </c>
      <c r="K44" s="129">
        <f t="shared" si="27"/>
        <v>6023467</v>
      </c>
      <c r="L44" s="129">
        <f t="shared" si="27"/>
        <v>5993992</v>
      </c>
      <c r="M44" s="129">
        <f t="shared" si="27"/>
        <v>6420262</v>
      </c>
      <c r="N44" s="130">
        <f t="shared" si="3"/>
        <v>65159528</v>
      </c>
      <c r="O44" s="129">
        <f>O45+O46+O47+O48+O49+O50+O51+O52+O53</f>
        <v>6870964</v>
      </c>
      <c r="P44" s="129">
        <f t="shared" ref="P44:Z44" si="28">P45+P46+P47+P48+P49+P50+P51+P52+P53</f>
        <v>5639033</v>
      </c>
      <c r="Q44" s="129">
        <f t="shared" si="28"/>
        <v>6759785</v>
      </c>
      <c r="R44" s="129">
        <f t="shared" si="28"/>
        <v>6203894</v>
      </c>
      <c r="S44" s="129">
        <f t="shared" si="28"/>
        <v>5521905</v>
      </c>
      <c r="T44" s="129">
        <f t="shared" si="28"/>
        <v>3904790</v>
      </c>
      <c r="U44" s="129">
        <f t="shared" si="28"/>
        <v>2832733</v>
      </c>
      <c r="V44" s="129">
        <f t="shared" si="28"/>
        <v>2862708</v>
      </c>
      <c r="W44" s="129">
        <f t="shared" si="28"/>
        <v>2440695</v>
      </c>
      <c r="X44" s="129">
        <f t="shared" si="28"/>
        <v>2598005</v>
      </c>
      <c r="Y44" s="129">
        <f t="shared" si="28"/>
        <v>2315956</v>
      </c>
      <c r="Z44" s="129">
        <f t="shared" si="28"/>
        <v>1945333</v>
      </c>
      <c r="AA44" s="130">
        <f t="shared" si="4"/>
        <v>49895801</v>
      </c>
      <c r="AB44" s="129">
        <f>+AB45+AB46</f>
        <v>2891201</v>
      </c>
      <c r="AC44" s="129">
        <f t="shared" ref="AC44:AM44" si="29">+AC45+AC46</f>
        <v>2300539</v>
      </c>
      <c r="AD44" s="129">
        <f t="shared" si="29"/>
        <v>2509330</v>
      </c>
      <c r="AE44" s="129">
        <f t="shared" si="29"/>
        <v>2165081</v>
      </c>
      <c r="AF44" s="129">
        <f t="shared" si="29"/>
        <v>1867605</v>
      </c>
      <c r="AG44" s="129">
        <f t="shared" si="29"/>
        <v>0</v>
      </c>
      <c r="AH44" s="129">
        <f t="shared" si="29"/>
        <v>0</v>
      </c>
      <c r="AI44" s="129">
        <f t="shared" si="29"/>
        <v>0</v>
      </c>
      <c r="AJ44" s="129">
        <f t="shared" si="29"/>
        <v>0</v>
      </c>
      <c r="AK44" s="129">
        <f t="shared" si="29"/>
        <v>0</v>
      </c>
      <c r="AL44" s="129">
        <f t="shared" si="29"/>
        <v>0</v>
      </c>
      <c r="AM44" s="129">
        <f t="shared" si="29"/>
        <v>0</v>
      </c>
      <c r="AN44" s="130">
        <f t="shared" si="15"/>
        <v>11733756</v>
      </c>
    </row>
    <row r="45" spans="1:40" hidden="1" outlineLevel="1">
      <c r="A45" s="37" t="s">
        <v>117</v>
      </c>
      <c r="B45" s="74">
        <v>1252501</v>
      </c>
      <c r="C45" s="74">
        <v>1231627</v>
      </c>
      <c r="D45" s="74">
        <v>1094208</v>
      </c>
      <c r="E45" s="74">
        <v>1042412</v>
      </c>
      <c r="F45" s="74">
        <v>1082768</v>
      </c>
      <c r="G45" s="74">
        <v>823378</v>
      </c>
      <c r="H45" s="74">
        <v>836743</v>
      </c>
      <c r="I45" s="74">
        <v>730759</v>
      </c>
      <c r="J45" s="74">
        <v>950099</v>
      </c>
      <c r="K45" s="74">
        <v>837063</v>
      </c>
      <c r="L45" s="74">
        <v>1246127</v>
      </c>
      <c r="M45" s="74">
        <v>1676648</v>
      </c>
      <c r="N45" s="73">
        <f t="shared" si="3"/>
        <v>12804333</v>
      </c>
      <c r="O45" s="74">
        <v>1265927</v>
      </c>
      <c r="P45" s="74">
        <v>1147204</v>
      </c>
      <c r="Q45" s="74">
        <v>1208052</v>
      </c>
      <c r="R45" s="74">
        <v>1213017</v>
      </c>
      <c r="S45" s="74">
        <v>1020231</v>
      </c>
      <c r="T45" s="74">
        <v>829369</v>
      </c>
      <c r="U45" s="74">
        <v>852452</v>
      </c>
      <c r="V45" s="74">
        <v>991460</v>
      </c>
      <c r="W45" s="74">
        <v>793702</v>
      </c>
      <c r="X45" s="74">
        <v>1094774</v>
      </c>
      <c r="Y45" s="74">
        <v>1059663</v>
      </c>
      <c r="Z45" s="74">
        <v>858437</v>
      </c>
      <c r="AA45" s="73">
        <f t="shared" si="4"/>
        <v>12334288</v>
      </c>
      <c r="AB45" s="74">
        <v>1364609</v>
      </c>
      <c r="AC45" s="74">
        <v>1045707</v>
      </c>
      <c r="AD45" s="74">
        <v>1126986</v>
      </c>
      <c r="AE45" s="74">
        <v>861689</v>
      </c>
      <c r="AF45" s="74">
        <v>655665</v>
      </c>
      <c r="AG45" s="74"/>
      <c r="AH45" s="74"/>
      <c r="AI45" s="74"/>
      <c r="AJ45" s="74"/>
      <c r="AK45" s="74"/>
      <c r="AL45" s="74"/>
      <c r="AM45" s="74"/>
      <c r="AN45" s="73">
        <f t="shared" si="15"/>
        <v>5054656</v>
      </c>
    </row>
    <row r="46" spans="1:40" hidden="1" outlineLevel="1">
      <c r="A46" s="37" t="s">
        <v>123</v>
      </c>
      <c r="B46" s="74">
        <v>2432572</v>
      </c>
      <c r="C46" s="74">
        <v>2064168</v>
      </c>
      <c r="D46" s="74">
        <v>3106772</v>
      </c>
      <c r="E46" s="74">
        <v>4378096</v>
      </c>
      <c r="F46" s="74">
        <v>4572310</v>
      </c>
      <c r="G46" s="74">
        <v>3974405</v>
      </c>
      <c r="H46" s="74">
        <v>426513</v>
      </c>
      <c r="I46" s="74">
        <v>3673841</v>
      </c>
      <c r="J46" s="74">
        <v>5764891</v>
      </c>
      <c r="K46" s="74">
        <v>3938046</v>
      </c>
      <c r="L46" s="74">
        <v>3785137</v>
      </c>
      <c r="M46" s="74">
        <v>3952985</v>
      </c>
      <c r="N46" s="73">
        <f t="shared" si="3"/>
        <v>42069736</v>
      </c>
      <c r="O46" s="74">
        <v>4556462</v>
      </c>
      <c r="P46" s="74">
        <v>3550997</v>
      </c>
      <c r="Q46" s="74">
        <v>4539399</v>
      </c>
      <c r="R46" s="74">
        <v>4076415</v>
      </c>
      <c r="S46" s="74">
        <v>3373765</v>
      </c>
      <c r="T46" s="74">
        <v>2528289</v>
      </c>
      <c r="U46" s="74">
        <v>1530468</v>
      </c>
      <c r="V46" s="74">
        <v>1430243</v>
      </c>
      <c r="W46" s="74">
        <v>1326644</v>
      </c>
      <c r="X46" s="74">
        <v>1208467</v>
      </c>
      <c r="Y46" s="74">
        <v>1256293</v>
      </c>
      <c r="Z46" s="74">
        <v>1086896</v>
      </c>
      <c r="AA46" s="73">
        <f t="shared" si="4"/>
        <v>30464338</v>
      </c>
      <c r="AB46" s="74">
        <v>1526592</v>
      </c>
      <c r="AC46" s="74">
        <v>1254832</v>
      </c>
      <c r="AD46" s="74">
        <v>1382344</v>
      </c>
      <c r="AE46" s="74">
        <v>1303392</v>
      </c>
      <c r="AF46" s="74">
        <v>1211940</v>
      </c>
      <c r="AG46" s="74"/>
      <c r="AH46" s="74"/>
      <c r="AI46" s="74"/>
      <c r="AJ46" s="74"/>
      <c r="AK46" s="74"/>
      <c r="AL46" s="74"/>
      <c r="AM46" s="74"/>
      <c r="AN46" s="73">
        <f t="shared" si="15"/>
        <v>6679100</v>
      </c>
    </row>
    <row r="47" spans="1:40" hidden="1" outlineLevel="1">
      <c r="A47" s="37" t="s">
        <v>118</v>
      </c>
      <c r="B47" s="74">
        <v>97217</v>
      </c>
      <c r="C47" s="74">
        <v>135434</v>
      </c>
      <c r="D47" s="74">
        <v>144986</v>
      </c>
      <c r="E47" s="74">
        <v>503901</v>
      </c>
      <c r="F47" s="74">
        <v>249784</v>
      </c>
      <c r="G47" s="74">
        <v>399023</v>
      </c>
      <c r="H47" s="74">
        <v>166428</v>
      </c>
      <c r="I47" s="74">
        <v>214492</v>
      </c>
      <c r="J47" s="74">
        <v>3041653</v>
      </c>
      <c r="K47" s="74">
        <v>862364</v>
      </c>
      <c r="L47" s="74">
        <v>685550</v>
      </c>
      <c r="M47" s="74">
        <v>561429</v>
      </c>
      <c r="N47" s="73">
        <f t="shared" si="3"/>
        <v>7062261</v>
      </c>
      <c r="O47" s="74">
        <v>578280</v>
      </c>
      <c r="P47" s="74">
        <v>353793</v>
      </c>
      <c r="Q47" s="74">
        <v>520141</v>
      </c>
      <c r="R47" s="74">
        <v>556759</v>
      </c>
      <c r="S47" s="74">
        <v>883382</v>
      </c>
      <c r="T47" s="74">
        <v>322097</v>
      </c>
      <c r="U47" s="74">
        <v>246506</v>
      </c>
      <c r="V47" s="74">
        <v>243576</v>
      </c>
      <c r="W47" s="74">
        <v>198152</v>
      </c>
      <c r="X47" s="74">
        <v>108239</v>
      </c>
      <c r="Y47" s="74"/>
      <c r="Z47" s="74"/>
      <c r="AA47" s="73">
        <f t="shared" si="4"/>
        <v>4010925</v>
      </c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3">
        <f t="shared" si="15"/>
        <v>0</v>
      </c>
    </row>
    <row r="48" spans="1:40" hidden="1" outlineLevel="1">
      <c r="A48" s="37" t="s">
        <v>237</v>
      </c>
      <c r="B48" s="74">
        <v>256018</v>
      </c>
      <c r="C48" s="74">
        <v>173123</v>
      </c>
      <c r="D48" s="74">
        <v>72033</v>
      </c>
      <c r="E48" s="74">
        <v>154011</v>
      </c>
      <c r="F48" s="74">
        <v>91523</v>
      </c>
      <c r="G48" s="74">
        <v>75800</v>
      </c>
      <c r="H48" s="74">
        <v>106210</v>
      </c>
      <c r="I48" s="74">
        <v>232004</v>
      </c>
      <c r="J48" s="74">
        <v>357459</v>
      </c>
      <c r="K48" s="74">
        <v>295864</v>
      </c>
      <c r="L48" s="74">
        <v>215742</v>
      </c>
      <c r="M48" s="74">
        <v>167918</v>
      </c>
      <c r="N48" s="73">
        <f t="shared" si="3"/>
        <v>2197705</v>
      </c>
      <c r="O48" s="74">
        <v>404512</v>
      </c>
      <c r="P48" s="74">
        <v>525711</v>
      </c>
      <c r="Q48" s="74">
        <v>421892</v>
      </c>
      <c r="R48" s="74">
        <v>298381</v>
      </c>
      <c r="S48" s="74">
        <v>166596</v>
      </c>
      <c r="T48" s="74">
        <v>177955</v>
      </c>
      <c r="U48" s="74">
        <v>164821</v>
      </c>
      <c r="V48" s="74">
        <v>150323</v>
      </c>
      <c r="W48" s="74">
        <v>91530</v>
      </c>
      <c r="X48" s="74">
        <v>71755</v>
      </c>
      <c r="Y48" s="74"/>
      <c r="Z48" s="74"/>
      <c r="AA48" s="73">
        <f t="shared" si="4"/>
        <v>2473476</v>
      </c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3">
        <f t="shared" si="15"/>
        <v>0</v>
      </c>
    </row>
    <row r="49" spans="1:40" hidden="1" outlineLevel="1">
      <c r="A49" s="37" t="s">
        <v>236</v>
      </c>
      <c r="B49" s="74">
        <v>17021</v>
      </c>
      <c r="C49" s="74">
        <v>15359</v>
      </c>
      <c r="D49" s="74">
        <v>15236</v>
      </c>
      <c r="E49" s="74">
        <v>15625</v>
      </c>
      <c r="F49" s="74">
        <v>14692</v>
      </c>
      <c r="G49" s="74">
        <v>13805</v>
      </c>
      <c r="H49" s="74">
        <v>13967</v>
      </c>
      <c r="I49" s="74">
        <v>14146</v>
      </c>
      <c r="J49" s="74">
        <v>12322</v>
      </c>
      <c r="K49" s="74">
        <v>14210</v>
      </c>
      <c r="L49" s="74">
        <v>12487</v>
      </c>
      <c r="M49" s="74">
        <v>12683</v>
      </c>
      <c r="N49" s="73">
        <f t="shared" si="3"/>
        <v>171553</v>
      </c>
      <c r="O49" s="74">
        <v>14252</v>
      </c>
      <c r="P49" s="74">
        <v>12757</v>
      </c>
      <c r="Q49" s="74">
        <v>12145</v>
      </c>
      <c r="R49" s="74">
        <v>11160</v>
      </c>
      <c r="S49" s="74">
        <v>11410</v>
      </c>
      <c r="T49" s="74">
        <v>11099</v>
      </c>
      <c r="U49" s="74">
        <v>9224</v>
      </c>
      <c r="V49" s="74">
        <v>8381</v>
      </c>
      <c r="W49" s="74">
        <v>7524</v>
      </c>
      <c r="X49" s="74">
        <v>21643</v>
      </c>
      <c r="Y49" s="74"/>
      <c r="Z49" s="74"/>
      <c r="AA49" s="73">
        <f t="shared" si="4"/>
        <v>119595</v>
      </c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3">
        <f t="shared" si="15"/>
        <v>0</v>
      </c>
    </row>
    <row r="50" spans="1:40" hidden="1" outlineLevel="1">
      <c r="A50" s="37" t="s">
        <v>240</v>
      </c>
      <c r="B50" s="74">
        <v>23333</v>
      </c>
      <c r="C50" s="74">
        <v>22057</v>
      </c>
      <c r="D50" s="74">
        <v>23638</v>
      </c>
      <c r="E50" s="74">
        <v>47630</v>
      </c>
      <c r="F50" s="74">
        <v>42420</v>
      </c>
      <c r="G50" s="74">
        <v>26626</v>
      </c>
      <c r="H50" s="74">
        <v>26668</v>
      </c>
      <c r="I50" s="74">
        <v>32092</v>
      </c>
      <c r="J50" s="74">
        <v>34851</v>
      </c>
      <c r="K50" s="74">
        <v>45202</v>
      </c>
      <c r="L50" s="74">
        <v>28168</v>
      </c>
      <c r="M50" s="74">
        <v>28517</v>
      </c>
      <c r="N50" s="73">
        <f t="shared" si="3"/>
        <v>381202</v>
      </c>
      <c r="O50" s="74">
        <v>31308</v>
      </c>
      <c r="P50" s="74">
        <v>29067</v>
      </c>
      <c r="Q50" s="74">
        <v>24075</v>
      </c>
      <c r="R50" s="74">
        <v>19651</v>
      </c>
      <c r="S50" s="74">
        <v>18526</v>
      </c>
      <c r="T50" s="74">
        <v>14722</v>
      </c>
      <c r="U50" s="74">
        <v>17073</v>
      </c>
      <c r="V50" s="74">
        <v>19704</v>
      </c>
      <c r="W50" s="74">
        <v>11788</v>
      </c>
      <c r="X50" s="74">
        <v>14069</v>
      </c>
      <c r="Y50" s="74"/>
      <c r="Z50" s="74"/>
      <c r="AA50" s="73">
        <f t="shared" si="4"/>
        <v>199983</v>
      </c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3">
        <f t="shared" si="15"/>
        <v>0</v>
      </c>
    </row>
    <row r="51" spans="1:40" hidden="1" outlineLevel="1">
      <c r="A51" s="37" t="s">
        <v>238</v>
      </c>
      <c r="B51" s="74">
        <v>27176</v>
      </c>
      <c r="C51" s="74">
        <v>15886</v>
      </c>
      <c r="D51" s="74">
        <v>15232</v>
      </c>
      <c r="E51" s="74">
        <v>17922</v>
      </c>
      <c r="F51" s="74">
        <v>15419</v>
      </c>
      <c r="G51" s="74">
        <v>12681</v>
      </c>
      <c r="H51" s="74">
        <v>10921</v>
      </c>
      <c r="I51" s="74">
        <v>11816</v>
      </c>
      <c r="J51" s="74">
        <v>12028</v>
      </c>
      <c r="K51" s="74">
        <v>24001</v>
      </c>
      <c r="L51" s="74">
        <v>16487</v>
      </c>
      <c r="M51" s="74">
        <v>15624</v>
      </c>
      <c r="N51" s="73">
        <f t="shared" si="3"/>
        <v>195193</v>
      </c>
      <c r="O51" s="74">
        <v>15308</v>
      </c>
      <c r="P51" s="74">
        <v>15954</v>
      </c>
      <c r="Q51" s="74">
        <v>30968</v>
      </c>
      <c r="R51" s="74">
        <v>25554</v>
      </c>
      <c r="S51" s="74">
        <v>44459</v>
      </c>
      <c r="T51" s="74">
        <v>19246</v>
      </c>
      <c r="U51" s="74">
        <v>10251</v>
      </c>
      <c r="V51" s="74">
        <v>16813</v>
      </c>
      <c r="W51" s="74">
        <v>10749</v>
      </c>
      <c r="X51" s="74">
        <v>12894</v>
      </c>
      <c r="Y51" s="74"/>
      <c r="Z51" s="74"/>
      <c r="AA51" s="73">
        <f t="shared" si="4"/>
        <v>202196</v>
      </c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3">
        <f t="shared" si="15"/>
        <v>0</v>
      </c>
    </row>
    <row r="52" spans="1:40" hidden="1" outlineLevel="1">
      <c r="A52" s="37" t="s">
        <v>119</v>
      </c>
      <c r="B52" s="74">
        <v>10082</v>
      </c>
      <c r="C52" s="74">
        <v>6538</v>
      </c>
      <c r="D52" s="74">
        <v>9487</v>
      </c>
      <c r="E52" s="74">
        <v>8740</v>
      </c>
      <c r="F52" s="74">
        <v>4652</v>
      </c>
      <c r="G52" s="74">
        <v>4680</v>
      </c>
      <c r="H52" s="74">
        <v>4496</v>
      </c>
      <c r="I52" s="74">
        <v>4516</v>
      </c>
      <c r="J52" s="74">
        <v>3311</v>
      </c>
      <c r="K52" s="74">
        <v>3556</v>
      </c>
      <c r="L52" s="74">
        <v>3198</v>
      </c>
      <c r="M52" s="74">
        <v>3523</v>
      </c>
      <c r="N52" s="73">
        <f t="shared" si="3"/>
        <v>66779</v>
      </c>
      <c r="O52" s="74">
        <v>3838</v>
      </c>
      <c r="P52" s="74">
        <v>2905</v>
      </c>
      <c r="Q52" s="74">
        <v>2615</v>
      </c>
      <c r="R52" s="74">
        <v>2466</v>
      </c>
      <c r="S52" s="74">
        <v>2209</v>
      </c>
      <c r="T52" s="74">
        <v>1613</v>
      </c>
      <c r="U52" s="74">
        <v>1439</v>
      </c>
      <c r="V52" s="74">
        <v>1580</v>
      </c>
      <c r="W52" s="74"/>
      <c r="X52" s="74"/>
      <c r="Y52" s="74"/>
      <c r="Z52" s="74"/>
      <c r="AA52" s="73">
        <f t="shared" si="4"/>
        <v>18665</v>
      </c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3">
        <f t="shared" si="15"/>
        <v>0</v>
      </c>
    </row>
    <row r="53" spans="1:40" hidden="1" outlineLevel="1">
      <c r="A53" s="37" t="s">
        <v>239</v>
      </c>
      <c r="B53" s="74">
        <v>36711</v>
      </c>
      <c r="C53" s="74">
        <v>31927</v>
      </c>
      <c r="D53" s="74">
        <v>35546</v>
      </c>
      <c r="E53" s="74">
        <v>30598</v>
      </c>
      <c r="F53" s="74">
        <v>21794</v>
      </c>
      <c r="G53" s="74">
        <v>20113</v>
      </c>
      <c r="H53" s="74">
        <v>12089</v>
      </c>
      <c r="I53" s="74">
        <v>4705</v>
      </c>
      <c r="J53" s="74">
        <v>12091</v>
      </c>
      <c r="K53" s="74">
        <v>3161</v>
      </c>
      <c r="L53" s="74">
        <v>1096</v>
      </c>
      <c r="M53" s="74">
        <v>935</v>
      </c>
      <c r="N53" s="73">
        <f t="shared" si="3"/>
        <v>210766</v>
      </c>
      <c r="O53" s="74">
        <v>1077</v>
      </c>
      <c r="P53" s="74">
        <v>645</v>
      </c>
      <c r="Q53" s="74">
        <v>498</v>
      </c>
      <c r="R53" s="74">
        <v>491</v>
      </c>
      <c r="S53" s="74">
        <v>1327</v>
      </c>
      <c r="T53" s="74">
        <v>400</v>
      </c>
      <c r="U53" s="74">
        <v>499</v>
      </c>
      <c r="V53" s="74">
        <v>628</v>
      </c>
      <c r="W53" s="74">
        <v>606</v>
      </c>
      <c r="X53" s="74">
        <v>66164</v>
      </c>
      <c r="Y53" s="74"/>
      <c r="Z53" s="74"/>
      <c r="AA53" s="73">
        <f t="shared" si="4"/>
        <v>72335</v>
      </c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3">
        <f t="shared" si="15"/>
        <v>0</v>
      </c>
    </row>
    <row r="54" spans="1:40" collapsed="1">
      <c r="A54" s="67" t="s">
        <v>73</v>
      </c>
      <c r="B54" s="129">
        <f>B55+B56+B57</f>
        <v>853388</v>
      </c>
      <c r="C54" s="129">
        <f t="shared" ref="C54:M54" si="30">C55+C56+C57</f>
        <v>1047160</v>
      </c>
      <c r="D54" s="129">
        <f t="shared" si="30"/>
        <v>627075</v>
      </c>
      <c r="E54" s="129">
        <f t="shared" si="30"/>
        <v>696084</v>
      </c>
      <c r="F54" s="129">
        <f t="shared" si="30"/>
        <v>293761</v>
      </c>
      <c r="G54" s="129">
        <f t="shared" si="30"/>
        <v>609437</v>
      </c>
      <c r="H54" s="129">
        <f t="shared" si="30"/>
        <v>758637</v>
      </c>
      <c r="I54" s="129">
        <f t="shared" si="30"/>
        <v>716124</v>
      </c>
      <c r="J54" s="129">
        <f t="shared" si="30"/>
        <v>2095582</v>
      </c>
      <c r="K54" s="129">
        <f t="shared" si="30"/>
        <v>491901</v>
      </c>
      <c r="L54" s="129">
        <f t="shared" si="30"/>
        <v>469978</v>
      </c>
      <c r="M54" s="129">
        <f t="shared" si="30"/>
        <v>521952</v>
      </c>
      <c r="N54" s="130">
        <f t="shared" si="3"/>
        <v>9181079</v>
      </c>
      <c r="O54" s="129">
        <f>O55+O56+O57</f>
        <v>408569</v>
      </c>
      <c r="P54" s="129">
        <f t="shared" ref="P54:Z54" si="31">P55+P56+P57</f>
        <v>311924</v>
      </c>
      <c r="Q54" s="129">
        <f t="shared" si="31"/>
        <v>386037</v>
      </c>
      <c r="R54" s="129">
        <f t="shared" si="31"/>
        <v>186717</v>
      </c>
      <c r="S54" s="129">
        <f t="shared" si="31"/>
        <v>155421</v>
      </c>
      <c r="T54" s="129">
        <f t="shared" si="31"/>
        <v>107030</v>
      </c>
      <c r="U54" s="129">
        <f t="shared" si="31"/>
        <v>84099</v>
      </c>
      <c r="V54" s="129">
        <f t="shared" si="31"/>
        <v>101382</v>
      </c>
      <c r="W54" s="129">
        <f t="shared" si="31"/>
        <v>87192</v>
      </c>
      <c r="X54" s="129">
        <f t="shared" si="31"/>
        <v>96025</v>
      </c>
      <c r="Y54" s="129">
        <f t="shared" si="31"/>
        <v>91793</v>
      </c>
      <c r="Z54" s="129">
        <f t="shared" si="31"/>
        <v>72799</v>
      </c>
      <c r="AA54" s="130">
        <f t="shared" si="4"/>
        <v>2088988</v>
      </c>
      <c r="AB54" s="129">
        <f>AB55+AB56+AB57</f>
        <v>85211</v>
      </c>
      <c r="AC54" s="129">
        <f t="shared" ref="AC54:AM54" si="32">AC55+AC56+AC57</f>
        <v>56045</v>
      </c>
      <c r="AD54" s="129">
        <f t="shared" si="32"/>
        <v>49532</v>
      </c>
      <c r="AE54" s="129">
        <f t="shared" si="32"/>
        <v>41227</v>
      </c>
      <c r="AF54" s="129">
        <f t="shared" si="32"/>
        <v>49040</v>
      </c>
      <c r="AG54" s="129">
        <f t="shared" si="32"/>
        <v>0</v>
      </c>
      <c r="AH54" s="129">
        <f t="shared" si="32"/>
        <v>0</v>
      </c>
      <c r="AI54" s="129">
        <f t="shared" si="32"/>
        <v>0</v>
      </c>
      <c r="AJ54" s="129">
        <f t="shared" si="32"/>
        <v>0</v>
      </c>
      <c r="AK54" s="129">
        <f t="shared" si="32"/>
        <v>0</v>
      </c>
      <c r="AL54" s="129">
        <f t="shared" si="32"/>
        <v>0</v>
      </c>
      <c r="AM54" s="129">
        <f t="shared" si="32"/>
        <v>0</v>
      </c>
      <c r="AN54" s="130">
        <f t="shared" si="15"/>
        <v>281055</v>
      </c>
    </row>
    <row r="55" spans="1:40" hidden="1" outlineLevel="1">
      <c r="A55" s="37" t="s">
        <v>120</v>
      </c>
      <c r="B55" s="74">
        <v>24030</v>
      </c>
      <c r="C55" s="74">
        <v>19544</v>
      </c>
      <c r="D55" s="74">
        <v>23952</v>
      </c>
      <c r="E55" s="74">
        <v>20998</v>
      </c>
      <c r="F55" s="74">
        <v>21457</v>
      </c>
      <c r="G55" s="74">
        <v>27975</v>
      </c>
      <c r="H55" s="74">
        <v>35096</v>
      </c>
      <c r="I55" s="74">
        <v>60619</v>
      </c>
      <c r="J55" s="74">
        <v>30802</v>
      </c>
      <c r="K55" s="74">
        <v>37501</v>
      </c>
      <c r="L55" s="74">
        <v>28656</v>
      </c>
      <c r="M55" s="74">
        <v>21671</v>
      </c>
      <c r="N55" s="73">
        <f t="shared" si="3"/>
        <v>352301</v>
      </c>
      <c r="O55" s="74">
        <v>18784</v>
      </c>
      <c r="P55" s="74">
        <v>28309</v>
      </c>
      <c r="Q55" s="74">
        <v>28586</v>
      </c>
      <c r="R55" s="74">
        <v>23397</v>
      </c>
      <c r="S55" s="74">
        <v>17803</v>
      </c>
      <c r="T55" s="74">
        <v>13653</v>
      </c>
      <c r="U55" s="74">
        <v>14706</v>
      </c>
      <c r="V55" s="74">
        <v>13625</v>
      </c>
      <c r="W55" s="74">
        <v>11406</v>
      </c>
      <c r="X55" s="74">
        <v>12646</v>
      </c>
      <c r="Y55" s="74">
        <v>12584</v>
      </c>
      <c r="Z55" s="74">
        <v>14184</v>
      </c>
      <c r="AA55" s="73">
        <f t="shared" si="4"/>
        <v>209683</v>
      </c>
      <c r="AB55" s="74">
        <v>15171</v>
      </c>
      <c r="AC55" s="74">
        <v>12036</v>
      </c>
      <c r="AD55" s="74">
        <v>12737</v>
      </c>
      <c r="AE55" s="74">
        <v>10942</v>
      </c>
      <c r="AF55" s="74">
        <v>11449</v>
      </c>
      <c r="AG55" s="74"/>
      <c r="AH55" s="74"/>
      <c r="AI55" s="74"/>
      <c r="AJ55" s="74"/>
      <c r="AK55" s="74"/>
      <c r="AL55" s="74"/>
      <c r="AM55" s="74"/>
      <c r="AN55" s="73">
        <f t="shared" si="15"/>
        <v>62335</v>
      </c>
    </row>
    <row r="56" spans="1:40" hidden="1" outlineLevel="1">
      <c r="A56" s="37" t="s">
        <v>154</v>
      </c>
      <c r="B56" s="74">
        <v>806858</v>
      </c>
      <c r="C56" s="74">
        <v>1017444</v>
      </c>
      <c r="D56" s="74">
        <v>590902</v>
      </c>
      <c r="E56" s="74">
        <v>659991</v>
      </c>
      <c r="F56" s="74">
        <v>253785</v>
      </c>
      <c r="G56" s="74">
        <v>552794</v>
      </c>
      <c r="H56" s="74">
        <v>686982</v>
      </c>
      <c r="I56" s="74">
        <v>611219</v>
      </c>
      <c r="J56" s="74">
        <v>1985118</v>
      </c>
      <c r="K56" s="74">
        <v>336268</v>
      </c>
      <c r="L56" s="74">
        <v>266133</v>
      </c>
      <c r="M56" s="74">
        <v>323549</v>
      </c>
      <c r="N56" s="73">
        <f t="shared" si="3"/>
        <v>8091043</v>
      </c>
      <c r="O56" s="74">
        <v>233056</v>
      </c>
      <c r="P56" s="74">
        <v>131190</v>
      </c>
      <c r="Q56" s="74">
        <v>228282</v>
      </c>
      <c r="R56" s="74">
        <v>83698</v>
      </c>
      <c r="S56" s="74">
        <v>74989</v>
      </c>
      <c r="T56" s="74">
        <v>62406</v>
      </c>
      <c r="U56" s="74">
        <v>44914</v>
      </c>
      <c r="V56" s="74">
        <v>59116</v>
      </c>
      <c r="W56" s="74">
        <v>48999</v>
      </c>
      <c r="X56" s="74">
        <v>40620</v>
      </c>
      <c r="Y56" s="74">
        <v>49127</v>
      </c>
      <c r="Z56" s="74">
        <v>31763</v>
      </c>
      <c r="AA56" s="73">
        <f t="shared" si="4"/>
        <v>1088160</v>
      </c>
      <c r="AB56" s="74">
        <v>43047</v>
      </c>
      <c r="AC56" s="74">
        <v>19187</v>
      </c>
      <c r="AD56" s="74">
        <v>15880</v>
      </c>
      <c r="AE56" s="74">
        <v>15858</v>
      </c>
      <c r="AF56" s="74">
        <v>20606</v>
      </c>
      <c r="AG56" s="74"/>
      <c r="AH56" s="74"/>
      <c r="AI56" s="74"/>
      <c r="AJ56" s="74"/>
      <c r="AK56" s="74"/>
      <c r="AL56" s="74"/>
      <c r="AM56" s="74"/>
      <c r="AN56" s="73">
        <f t="shared" si="15"/>
        <v>114578</v>
      </c>
    </row>
    <row r="57" spans="1:40" hidden="1" outlineLevel="1">
      <c r="A57" s="37" t="s">
        <v>155</v>
      </c>
      <c r="B57" s="74">
        <v>22500</v>
      </c>
      <c r="C57" s="74">
        <v>10172</v>
      </c>
      <c r="D57" s="74">
        <v>12221</v>
      </c>
      <c r="E57" s="74">
        <v>15095</v>
      </c>
      <c r="F57" s="74">
        <v>18519</v>
      </c>
      <c r="G57" s="74">
        <v>28668</v>
      </c>
      <c r="H57" s="74">
        <v>36559</v>
      </c>
      <c r="I57" s="74">
        <v>44286</v>
      </c>
      <c r="J57" s="74">
        <v>79662</v>
      </c>
      <c r="K57" s="74">
        <v>118132</v>
      </c>
      <c r="L57" s="74">
        <v>175189</v>
      </c>
      <c r="M57" s="74">
        <v>176732</v>
      </c>
      <c r="N57" s="73">
        <f t="shared" si="3"/>
        <v>737735</v>
      </c>
      <c r="O57" s="74">
        <v>156729</v>
      </c>
      <c r="P57" s="74">
        <v>152425</v>
      </c>
      <c r="Q57" s="74">
        <v>129169</v>
      </c>
      <c r="R57" s="74">
        <v>79622</v>
      </c>
      <c r="S57" s="74">
        <v>62629</v>
      </c>
      <c r="T57" s="74">
        <v>30971</v>
      </c>
      <c r="U57" s="74">
        <v>24479</v>
      </c>
      <c r="V57" s="74">
        <v>28641</v>
      </c>
      <c r="W57" s="74">
        <v>26787</v>
      </c>
      <c r="X57" s="74">
        <v>42759</v>
      </c>
      <c r="Y57" s="74">
        <v>30082</v>
      </c>
      <c r="Z57" s="74">
        <v>26852</v>
      </c>
      <c r="AA57" s="73">
        <f t="shared" si="4"/>
        <v>791145</v>
      </c>
      <c r="AB57" s="74">
        <v>26993</v>
      </c>
      <c r="AC57" s="74">
        <v>24822</v>
      </c>
      <c r="AD57" s="74">
        <v>20915</v>
      </c>
      <c r="AE57" s="74">
        <v>14427</v>
      </c>
      <c r="AF57" s="74">
        <v>16985</v>
      </c>
      <c r="AG57" s="74"/>
      <c r="AH57" s="74"/>
      <c r="AI57" s="74"/>
      <c r="AJ57" s="74"/>
      <c r="AK57" s="74"/>
      <c r="AL57" s="74"/>
      <c r="AM57" s="74"/>
      <c r="AN57" s="73">
        <f t="shared" si="15"/>
        <v>104142</v>
      </c>
    </row>
    <row r="58" spans="1:40" collapsed="1">
      <c r="A58" s="67" t="s">
        <v>101</v>
      </c>
      <c r="B58" s="129">
        <f>B59+B60</f>
        <v>1631028</v>
      </c>
      <c r="C58" s="129">
        <f t="shared" ref="C58:M58" si="33">C59+C60</f>
        <v>804554</v>
      </c>
      <c r="D58" s="129">
        <f t="shared" si="33"/>
        <v>378000</v>
      </c>
      <c r="E58" s="129">
        <f t="shared" si="33"/>
        <v>605219</v>
      </c>
      <c r="F58" s="129">
        <f t="shared" si="33"/>
        <v>263222</v>
      </c>
      <c r="G58" s="129">
        <f t="shared" si="33"/>
        <v>549776</v>
      </c>
      <c r="H58" s="129">
        <f t="shared" si="33"/>
        <v>797137</v>
      </c>
      <c r="I58" s="129">
        <f t="shared" si="33"/>
        <v>949951</v>
      </c>
      <c r="J58" s="129">
        <f t="shared" si="33"/>
        <v>9762010</v>
      </c>
      <c r="K58" s="129">
        <f t="shared" si="33"/>
        <v>1630981</v>
      </c>
      <c r="L58" s="129">
        <f t="shared" si="33"/>
        <v>1117823</v>
      </c>
      <c r="M58" s="129">
        <f t="shared" si="33"/>
        <v>1257608</v>
      </c>
      <c r="N58" s="130">
        <f t="shared" si="3"/>
        <v>19747309</v>
      </c>
      <c r="O58" s="129">
        <f>O59+O60</f>
        <v>1934267</v>
      </c>
      <c r="P58" s="129">
        <f t="shared" ref="P58:Z58" si="34">P59+P60</f>
        <v>1584129</v>
      </c>
      <c r="Q58" s="129">
        <f t="shared" si="34"/>
        <v>2140805</v>
      </c>
      <c r="R58" s="129">
        <f t="shared" si="34"/>
        <v>1252477</v>
      </c>
      <c r="S58" s="129">
        <f t="shared" si="34"/>
        <v>1719472</v>
      </c>
      <c r="T58" s="129">
        <f t="shared" si="34"/>
        <v>1292925</v>
      </c>
      <c r="U58" s="129">
        <f t="shared" si="34"/>
        <v>1511222</v>
      </c>
      <c r="V58" s="129">
        <f t="shared" si="34"/>
        <v>1398853</v>
      </c>
      <c r="W58" s="129">
        <f t="shared" si="34"/>
        <v>1622744</v>
      </c>
      <c r="X58" s="129">
        <f t="shared" si="34"/>
        <v>841349</v>
      </c>
      <c r="Y58" s="129">
        <f t="shared" si="34"/>
        <v>643847</v>
      </c>
      <c r="Z58" s="129">
        <f t="shared" si="34"/>
        <v>387289</v>
      </c>
      <c r="AA58" s="130">
        <f t="shared" si="4"/>
        <v>16329379</v>
      </c>
      <c r="AB58" s="129">
        <f>AB59+AB60</f>
        <v>274407</v>
      </c>
      <c r="AC58" s="129">
        <f t="shared" ref="AC58:AM58" si="35">AC59+AC60</f>
        <v>439460</v>
      </c>
      <c r="AD58" s="129">
        <f t="shared" si="35"/>
        <v>177086</v>
      </c>
      <c r="AE58" s="129">
        <f t="shared" si="35"/>
        <v>266570</v>
      </c>
      <c r="AF58" s="129">
        <f t="shared" si="35"/>
        <v>313504</v>
      </c>
      <c r="AG58" s="129">
        <f t="shared" si="35"/>
        <v>0</v>
      </c>
      <c r="AH58" s="129">
        <f t="shared" si="35"/>
        <v>0</v>
      </c>
      <c r="AI58" s="129">
        <f t="shared" si="35"/>
        <v>0</v>
      </c>
      <c r="AJ58" s="129">
        <f t="shared" si="35"/>
        <v>0</v>
      </c>
      <c r="AK58" s="129">
        <f t="shared" si="35"/>
        <v>0</v>
      </c>
      <c r="AL58" s="129">
        <f t="shared" si="35"/>
        <v>0</v>
      </c>
      <c r="AM58" s="129">
        <f t="shared" si="35"/>
        <v>0</v>
      </c>
      <c r="AN58" s="130">
        <f t="shared" si="15"/>
        <v>1471027</v>
      </c>
    </row>
    <row r="59" spans="1:40" hidden="1" outlineLevel="1">
      <c r="A59" s="37" t="s">
        <v>121</v>
      </c>
      <c r="B59" s="74">
        <v>25336</v>
      </c>
      <c r="C59" s="74">
        <v>25741</v>
      </c>
      <c r="D59" s="74">
        <v>32493</v>
      </c>
      <c r="E59" s="74">
        <v>41082</v>
      </c>
      <c r="F59" s="74">
        <v>48239</v>
      </c>
      <c r="G59" s="74">
        <v>85461</v>
      </c>
      <c r="H59" s="74">
        <v>146265</v>
      </c>
      <c r="I59" s="74">
        <v>137815</v>
      </c>
      <c r="J59" s="74">
        <v>197625</v>
      </c>
      <c r="K59" s="74">
        <v>472613</v>
      </c>
      <c r="L59" s="74">
        <v>496273</v>
      </c>
      <c r="M59" s="74">
        <v>796362</v>
      </c>
      <c r="N59" s="73">
        <f t="shared" si="3"/>
        <v>2505305</v>
      </c>
      <c r="O59" s="74">
        <v>1422063</v>
      </c>
      <c r="P59" s="74">
        <v>1326327</v>
      </c>
      <c r="Q59" s="74">
        <v>1644970</v>
      </c>
      <c r="R59" s="74">
        <v>837843</v>
      </c>
      <c r="S59" s="74">
        <v>1226739</v>
      </c>
      <c r="T59" s="74">
        <v>987952</v>
      </c>
      <c r="U59" s="74">
        <v>1215913</v>
      </c>
      <c r="V59" s="74">
        <v>1234521</v>
      </c>
      <c r="W59" s="74">
        <v>1448873</v>
      </c>
      <c r="X59" s="74">
        <v>717224</v>
      </c>
      <c r="Y59" s="74">
        <v>527777</v>
      </c>
      <c r="Z59" s="74">
        <v>297565</v>
      </c>
      <c r="AA59" s="73">
        <f t="shared" si="4"/>
        <v>12887767</v>
      </c>
      <c r="AB59" s="74">
        <v>240738</v>
      </c>
      <c r="AC59" s="74">
        <v>384897</v>
      </c>
      <c r="AD59" s="74">
        <v>129203</v>
      </c>
      <c r="AE59" s="74">
        <v>157470</v>
      </c>
      <c r="AF59" s="74">
        <v>245700</v>
      </c>
      <c r="AG59" s="74"/>
      <c r="AH59" s="74"/>
      <c r="AI59" s="74"/>
      <c r="AJ59" s="74"/>
      <c r="AK59" s="74"/>
      <c r="AL59" s="74"/>
      <c r="AM59" s="74"/>
      <c r="AN59" s="73">
        <f t="shared" si="15"/>
        <v>1158008</v>
      </c>
    </row>
    <row r="60" spans="1:40" hidden="1" outlineLevel="1">
      <c r="A60" s="37" t="s">
        <v>122</v>
      </c>
      <c r="B60" s="74">
        <v>1605692</v>
      </c>
      <c r="C60" s="74">
        <v>778813</v>
      </c>
      <c r="D60" s="74">
        <v>345507</v>
      </c>
      <c r="E60" s="74">
        <v>564137</v>
      </c>
      <c r="F60" s="74">
        <v>214983</v>
      </c>
      <c r="G60" s="74">
        <v>464315</v>
      </c>
      <c r="H60" s="74">
        <v>650872</v>
      </c>
      <c r="I60" s="74">
        <v>812136</v>
      </c>
      <c r="J60" s="74">
        <v>9564385</v>
      </c>
      <c r="K60" s="74">
        <v>1158368</v>
      </c>
      <c r="L60" s="74">
        <v>621550</v>
      </c>
      <c r="M60" s="74">
        <v>461246</v>
      </c>
      <c r="N60" s="73">
        <f t="shared" si="3"/>
        <v>17242004</v>
      </c>
      <c r="O60" s="74">
        <v>512204</v>
      </c>
      <c r="P60" s="74">
        <v>257802</v>
      </c>
      <c r="Q60" s="74">
        <v>495835</v>
      </c>
      <c r="R60" s="74">
        <v>414634</v>
      </c>
      <c r="S60" s="74">
        <v>492733</v>
      </c>
      <c r="T60" s="74">
        <v>304973</v>
      </c>
      <c r="U60" s="74">
        <v>295309</v>
      </c>
      <c r="V60" s="74">
        <v>164332</v>
      </c>
      <c r="W60" s="74">
        <v>173871</v>
      </c>
      <c r="X60" s="74">
        <v>124125</v>
      </c>
      <c r="Y60" s="74">
        <v>116070</v>
      </c>
      <c r="Z60" s="74">
        <v>89724</v>
      </c>
      <c r="AA60" s="73">
        <f t="shared" si="4"/>
        <v>3441612</v>
      </c>
      <c r="AB60" s="74">
        <v>33669</v>
      </c>
      <c r="AC60" s="74">
        <v>54563</v>
      </c>
      <c r="AD60" s="74">
        <v>47883</v>
      </c>
      <c r="AE60" s="74">
        <v>109100</v>
      </c>
      <c r="AF60" s="74">
        <v>67804</v>
      </c>
      <c r="AG60" s="74"/>
      <c r="AH60" s="74"/>
      <c r="AI60" s="74"/>
      <c r="AJ60" s="74"/>
      <c r="AK60" s="74"/>
      <c r="AL60" s="74"/>
      <c r="AM60" s="74"/>
      <c r="AN60" s="73">
        <f t="shared" si="15"/>
        <v>313019</v>
      </c>
    </row>
    <row r="61" spans="1:40">
      <c r="A61" s="37" t="s">
        <v>70</v>
      </c>
      <c r="B61" s="74">
        <v>429102</v>
      </c>
      <c r="C61" s="74"/>
      <c r="D61" s="74"/>
      <c r="E61" s="74">
        <v>828245</v>
      </c>
      <c r="F61" s="74"/>
      <c r="G61" s="74"/>
      <c r="H61" s="74">
        <v>345177</v>
      </c>
      <c r="I61" s="74">
        <v>421431</v>
      </c>
      <c r="J61" s="74">
        <v>786689</v>
      </c>
      <c r="K61" s="74">
        <v>1580015</v>
      </c>
      <c r="L61" s="74">
        <v>199500</v>
      </c>
      <c r="M61" s="74">
        <v>589432</v>
      </c>
      <c r="N61" s="73">
        <f t="shared" si="3"/>
        <v>5179591</v>
      </c>
      <c r="O61" s="74">
        <v>569843</v>
      </c>
      <c r="P61" s="74">
        <v>1026711</v>
      </c>
      <c r="Q61" s="74">
        <v>492558</v>
      </c>
      <c r="R61" s="74">
        <v>984964</v>
      </c>
      <c r="S61" s="74">
        <v>310067</v>
      </c>
      <c r="T61" s="74">
        <v>250808</v>
      </c>
      <c r="U61" s="74">
        <v>148145</v>
      </c>
      <c r="V61" s="74">
        <v>169397</v>
      </c>
      <c r="W61" s="74">
        <v>484884</v>
      </c>
      <c r="X61" s="74">
        <v>375778</v>
      </c>
      <c r="Y61" s="74">
        <v>211575</v>
      </c>
      <c r="Z61" s="74">
        <v>248398</v>
      </c>
      <c r="AA61" s="73">
        <f t="shared" si="4"/>
        <v>5273128</v>
      </c>
      <c r="AB61" s="74">
        <v>1803532</v>
      </c>
      <c r="AC61" s="74">
        <v>1260613</v>
      </c>
      <c r="AD61" s="74">
        <v>683285</v>
      </c>
      <c r="AE61" s="74">
        <v>511532</v>
      </c>
      <c r="AF61" s="74">
        <v>296270</v>
      </c>
      <c r="AG61" s="74">
        <v>327786</v>
      </c>
      <c r="AH61" s="74">
        <v>2487984</v>
      </c>
      <c r="AI61" s="74">
        <v>1031274</v>
      </c>
      <c r="AJ61" s="74"/>
      <c r="AK61" s="74"/>
      <c r="AL61" s="74"/>
      <c r="AM61" s="74"/>
      <c r="AN61" s="73">
        <f t="shared" si="15"/>
        <v>8402276</v>
      </c>
    </row>
    <row r="62" spans="1:40" outlineLevel="1">
      <c r="A62" s="67" t="s">
        <v>71</v>
      </c>
      <c r="B62" s="129"/>
      <c r="C62" s="129">
        <v>309106</v>
      </c>
      <c r="D62" s="129">
        <v>769543</v>
      </c>
      <c r="E62" s="129">
        <v>1024715</v>
      </c>
      <c r="F62" s="129">
        <v>1092279</v>
      </c>
      <c r="G62" s="129">
        <v>1036774</v>
      </c>
      <c r="H62" s="129">
        <v>1057573</v>
      </c>
      <c r="I62" s="129">
        <v>1308579</v>
      </c>
      <c r="J62" s="129">
        <v>1353970</v>
      </c>
      <c r="K62" s="129">
        <v>1327869</v>
      </c>
      <c r="L62" s="129">
        <v>1342113</v>
      </c>
      <c r="M62" s="129">
        <v>1636933</v>
      </c>
      <c r="N62" s="130">
        <f t="shared" si="3"/>
        <v>12259454</v>
      </c>
      <c r="O62" s="129">
        <v>662501</v>
      </c>
      <c r="P62" s="129">
        <f>12219+19613</f>
        <v>31832</v>
      </c>
      <c r="Q62" s="129">
        <f>32051+58977</f>
        <v>91028</v>
      </c>
      <c r="R62" s="129">
        <f>65744+68368</f>
        <v>134112</v>
      </c>
      <c r="S62" s="129">
        <v>64859</v>
      </c>
      <c r="T62" s="129">
        <v>72773</v>
      </c>
      <c r="U62" s="129"/>
      <c r="V62" s="129"/>
      <c r="W62" s="129"/>
      <c r="X62" s="129"/>
      <c r="Y62" s="129"/>
      <c r="Z62" s="129"/>
      <c r="AA62" s="130">
        <f t="shared" si="4"/>
        <v>1057105</v>
      </c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30">
        <f t="shared" si="15"/>
        <v>0</v>
      </c>
    </row>
    <row r="63" spans="1:40" collapsed="1">
      <c r="A63" s="37" t="s">
        <v>102</v>
      </c>
      <c r="B63" s="74">
        <f>B64+B65</f>
        <v>443771</v>
      </c>
      <c r="C63" s="74">
        <f t="shared" ref="C63:M63" si="36">C64+C65</f>
        <v>411611</v>
      </c>
      <c r="D63" s="74">
        <f t="shared" si="36"/>
        <v>437122</v>
      </c>
      <c r="E63" s="74">
        <f t="shared" si="36"/>
        <v>429092</v>
      </c>
      <c r="F63" s="74">
        <f t="shared" si="36"/>
        <v>412775</v>
      </c>
      <c r="G63" s="74">
        <f t="shared" si="36"/>
        <v>387657</v>
      </c>
      <c r="H63" s="74">
        <f t="shared" si="36"/>
        <v>415224</v>
      </c>
      <c r="I63" s="74">
        <f t="shared" si="36"/>
        <v>428120</v>
      </c>
      <c r="J63" s="74">
        <f t="shared" si="36"/>
        <v>440302</v>
      </c>
      <c r="K63" s="74">
        <f t="shared" si="36"/>
        <v>367182</v>
      </c>
      <c r="L63" s="74">
        <f t="shared" si="36"/>
        <v>352833</v>
      </c>
      <c r="M63" s="74">
        <f t="shared" si="36"/>
        <v>560814</v>
      </c>
      <c r="N63" s="73">
        <f t="shared" si="3"/>
        <v>5086503</v>
      </c>
      <c r="O63" s="74">
        <f>O64+O65</f>
        <v>403066</v>
      </c>
      <c r="P63" s="74">
        <f>P64+P65</f>
        <v>606672</v>
      </c>
      <c r="Q63" s="74">
        <f t="shared" ref="Q63:Z63" si="37">Q64+Q65</f>
        <v>588504</v>
      </c>
      <c r="R63" s="74">
        <f t="shared" si="37"/>
        <v>565716</v>
      </c>
      <c r="S63" s="74">
        <f t="shared" si="37"/>
        <v>476047</v>
      </c>
      <c r="T63" s="74">
        <f t="shared" si="37"/>
        <v>345475</v>
      </c>
      <c r="U63" s="74">
        <f t="shared" si="37"/>
        <v>462153</v>
      </c>
      <c r="V63" s="74">
        <f t="shared" si="37"/>
        <v>388653</v>
      </c>
      <c r="W63" s="74">
        <f t="shared" si="37"/>
        <v>289095</v>
      </c>
      <c r="X63" s="74">
        <f t="shared" si="37"/>
        <v>307409</v>
      </c>
      <c r="Y63" s="74">
        <f t="shared" si="37"/>
        <v>274078</v>
      </c>
      <c r="Z63" s="74">
        <f t="shared" si="37"/>
        <v>335908</v>
      </c>
      <c r="AA63" s="73">
        <f t="shared" si="4"/>
        <v>5042776</v>
      </c>
      <c r="AB63" s="74">
        <f>AB64+AB65</f>
        <v>306027</v>
      </c>
      <c r="AC63" s="74">
        <f t="shared" ref="AC63:AM63" si="38">AC64+AC65</f>
        <v>262803</v>
      </c>
      <c r="AD63" s="74">
        <f t="shared" si="38"/>
        <v>320148</v>
      </c>
      <c r="AE63" s="74">
        <f t="shared" si="38"/>
        <v>277501</v>
      </c>
      <c r="AF63" s="74">
        <f t="shared" si="38"/>
        <v>295551</v>
      </c>
      <c r="AG63" s="74">
        <f t="shared" si="38"/>
        <v>376748</v>
      </c>
      <c r="AH63" s="74">
        <f t="shared" si="38"/>
        <v>265029</v>
      </c>
      <c r="AI63" s="74">
        <f t="shared" si="38"/>
        <v>208637</v>
      </c>
      <c r="AJ63" s="74">
        <f t="shared" si="38"/>
        <v>0</v>
      </c>
      <c r="AK63" s="74">
        <f t="shared" si="38"/>
        <v>0</v>
      </c>
      <c r="AL63" s="74">
        <f t="shared" si="38"/>
        <v>0</v>
      </c>
      <c r="AM63" s="74">
        <f t="shared" si="38"/>
        <v>0</v>
      </c>
      <c r="AN63" s="73">
        <f t="shared" si="15"/>
        <v>2312444</v>
      </c>
    </row>
    <row r="64" spans="1:40" hidden="1" outlineLevel="1">
      <c r="A64" s="38" t="s">
        <v>103</v>
      </c>
      <c r="B64" s="74">
        <v>436033</v>
      </c>
      <c r="C64" s="74">
        <v>407304</v>
      </c>
      <c r="D64" s="74">
        <v>423852</v>
      </c>
      <c r="E64" s="74">
        <v>419956</v>
      </c>
      <c r="F64" s="74">
        <v>397342</v>
      </c>
      <c r="G64" s="74">
        <v>382951</v>
      </c>
      <c r="H64" s="74">
        <v>411854</v>
      </c>
      <c r="I64" s="74">
        <v>424799</v>
      </c>
      <c r="J64" s="74">
        <v>420988</v>
      </c>
      <c r="K64" s="74">
        <v>354796</v>
      </c>
      <c r="L64" s="74">
        <v>330370</v>
      </c>
      <c r="M64" s="74">
        <v>479044</v>
      </c>
      <c r="N64" s="73">
        <f t="shared" si="3"/>
        <v>4889289</v>
      </c>
      <c r="O64" s="74">
        <v>355591</v>
      </c>
      <c r="P64" s="74">
        <v>471035</v>
      </c>
      <c r="Q64" s="74">
        <v>516028</v>
      </c>
      <c r="R64" s="74">
        <v>493980</v>
      </c>
      <c r="S64" s="74">
        <v>452177</v>
      </c>
      <c r="T64" s="74">
        <v>307969</v>
      </c>
      <c r="U64" s="74">
        <v>402660</v>
      </c>
      <c r="V64" s="74">
        <v>341014</v>
      </c>
      <c r="W64" s="74">
        <v>264252</v>
      </c>
      <c r="X64" s="74">
        <v>277546</v>
      </c>
      <c r="Y64" s="74">
        <v>262326</v>
      </c>
      <c r="Z64" s="74">
        <v>333560</v>
      </c>
      <c r="AA64" s="73">
        <f t="shared" si="4"/>
        <v>4478138</v>
      </c>
      <c r="AB64" s="74">
        <v>301717</v>
      </c>
      <c r="AC64" s="74">
        <v>260717</v>
      </c>
      <c r="AD64" s="74">
        <v>315900</v>
      </c>
      <c r="AE64" s="74">
        <v>275088</v>
      </c>
      <c r="AF64" s="74">
        <v>288315</v>
      </c>
      <c r="AG64" s="74">
        <v>366957</v>
      </c>
      <c r="AH64" s="74">
        <v>260710</v>
      </c>
      <c r="AI64" s="74">
        <v>204849</v>
      </c>
      <c r="AJ64" s="74"/>
      <c r="AK64" s="74"/>
      <c r="AL64" s="74"/>
      <c r="AM64" s="74"/>
      <c r="AN64" s="73">
        <f t="shared" si="15"/>
        <v>2274253</v>
      </c>
    </row>
    <row r="65" spans="1:40" hidden="1" outlineLevel="1">
      <c r="A65" s="38" t="s">
        <v>74</v>
      </c>
      <c r="B65" s="74">
        <v>7738</v>
      </c>
      <c r="C65" s="74">
        <v>4307</v>
      </c>
      <c r="D65" s="74">
        <v>13270</v>
      </c>
      <c r="E65" s="74">
        <v>9136</v>
      </c>
      <c r="F65" s="74">
        <v>15433</v>
      </c>
      <c r="G65" s="74">
        <v>4706</v>
      </c>
      <c r="H65" s="74">
        <v>3370</v>
      </c>
      <c r="I65" s="74">
        <v>3321</v>
      </c>
      <c r="J65" s="74">
        <v>19314</v>
      </c>
      <c r="K65" s="74">
        <v>12386</v>
      </c>
      <c r="L65" s="74">
        <v>22463</v>
      </c>
      <c r="M65" s="74">
        <v>81770</v>
      </c>
      <c r="N65" s="73">
        <f t="shared" si="3"/>
        <v>197214</v>
      </c>
      <c r="O65" s="74">
        <v>47475</v>
      </c>
      <c r="P65" s="74">
        <v>135637</v>
      </c>
      <c r="Q65" s="74">
        <v>72476</v>
      </c>
      <c r="R65" s="74">
        <v>71736</v>
      </c>
      <c r="S65" s="74">
        <v>23870</v>
      </c>
      <c r="T65" s="74">
        <v>37506</v>
      </c>
      <c r="U65" s="74">
        <v>59493</v>
      </c>
      <c r="V65" s="74">
        <v>47639</v>
      </c>
      <c r="W65" s="74">
        <v>24843</v>
      </c>
      <c r="X65" s="74">
        <v>29863</v>
      </c>
      <c r="Y65" s="74">
        <v>11752</v>
      </c>
      <c r="Z65" s="74">
        <v>2348</v>
      </c>
      <c r="AA65" s="73">
        <f t="shared" si="4"/>
        <v>564638</v>
      </c>
      <c r="AB65" s="74">
        <v>4310</v>
      </c>
      <c r="AC65" s="74">
        <v>2086</v>
      </c>
      <c r="AD65" s="74">
        <v>4248</v>
      </c>
      <c r="AE65" s="74">
        <v>2413</v>
      </c>
      <c r="AF65" s="74">
        <v>7236</v>
      </c>
      <c r="AG65" s="74">
        <v>9791</v>
      </c>
      <c r="AH65" s="74">
        <v>4319</v>
      </c>
      <c r="AI65" s="74">
        <v>3788</v>
      </c>
      <c r="AJ65" s="74"/>
      <c r="AK65" s="74"/>
      <c r="AL65" s="74"/>
      <c r="AM65" s="74"/>
      <c r="AN65" s="73">
        <f t="shared" si="15"/>
        <v>38191</v>
      </c>
    </row>
    <row r="66" spans="1:40" collapsed="1">
      <c r="A66" s="67" t="s">
        <v>104</v>
      </c>
      <c r="B66" s="129">
        <f>B67+B68+B69</f>
        <v>238753</v>
      </c>
      <c r="C66" s="129">
        <f t="shared" ref="C66:M66" si="39">C67+C68+C69</f>
        <v>235704</v>
      </c>
      <c r="D66" s="129">
        <f t="shared" si="39"/>
        <v>329177</v>
      </c>
      <c r="E66" s="129">
        <f t="shared" si="39"/>
        <v>340292</v>
      </c>
      <c r="F66" s="129">
        <f t="shared" si="39"/>
        <v>248768</v>
      </c>
      <c r="G66" s="129">
        <f t="shared" si="39"/>
        <v>314835</v>
      </c>
      <c r="H66" s="129">
        <f t="shared" si="39"/>
        <v>330079</v>
      </c>
      <c r="I66" s="129">
        <f t="shared" si="39"/>
        <v>328628</v>
      </c>
      <c r="J66" s="129">
        <f t="shared" si="39"/>
        <v>426430</v>
      </c>
      <c r="K66" s="129">
        <f t="shared" si="39"/>
        <v>254275</v>
      </c>
      <c r="L66" s="129">
        <f t="shared" si="39"/>
        <v>274975</v>
      </c>
      <c r="M66" s="129">
        <f t="shared" si="39"/>
        <v>314268</v>
      </c>
      <c r="N66" s="130">
        <f t="shared" si="3"/>
        <v>3636184</v>
      </c>
      <c r="O66" s="129">
        <f>O67+O68+O69</f>
        <v>228528</v>
      </c>
      <c r="P66" s="129">
        <f t="shared" ref="P66:Z66" si="40">P67+P68+P69</f>
        <v>227213</v>
      </c>
      <c r="Q66" s="129">
        <f t="shared" si="40"/>
        <v>254883</v>
      </c>
      <c r="R66" s="129">
        <f t="shared" si="40"/>
        <v>247144</v>
      </c>
      <c r="S66" s="129">
        <f t="shared" si="40"/>
        <v>260363</v>
      </c>
      <c r="T66" s="129">
        <f t="shared" si="40"/>
        <v>178830</v>
      </c>
      <c r="U66" s="129">
        <f t="shared" si="40"/>
        <v>186573</v>
      </c>
      <c r="V66" s="129">
        <f t="shared" si="40"/>
        <v>153606</v>
      </c>
      <c r="W66" s="129">
        <f t="shared" si="40"/>
        <v>159290</v>
      </c>
      <c r="X66" s="129">
        <f t="shared" si="40"/>
        <v>175299</v>
      </c>
      <c r="Y66" s="129">
        <f t="shared" si="40"/>
        <v>181097</v>
      </c>
      <c r="Z66" s="129">
        <f t="shared" si="40"/>
        <v>150286</v>
      </c>
      <c r="AA66" s="130">
        <f t="shared" si="4"/>
        <v>2403112</v>
      </c>
      <c r="AB66" s="129">
        <f>AB67+AB68+AB69</f>
        <v>135180</v>
      </c>
      <c r="AC66" s="129">
        <f t="shared" ref="AC66:AM66" si="41">AC67+AC68+AC69</f>
        <v>105904</v>
      </c>
      <c r="AD66" s="129">
        <f t="shared" si="41"/>
        <v>93845</v>
      </c>
      <c r="AE66" s="129">
        <f t="shared" si="41"/>
        <v>71733</v>
      </c>
      <c r="AF66" s="129">
        <f t="shared" si="41"/>
        <v>57118</v>
      </c>
      <c r="AG66" s="129">
        <f t="shared" si="41"/>
        <v>0</v>
      </c>
      <c r="AH66" s="129">
        <f t="shared" si="41"/>
        <v>0</v>
      </c>
      <c r="AI66" s="129">
        <f t="shared" si="41"/>
        <v>0</v>
      </c>
      <c r="AJ66" s="129">
        <f t="shared" si="41"/>
        <v>0</v>
      </c>
      <c r="AK66" s="129">
        <f t="shared" si="41"/>
        <v>0</v>
      </c>
      <c r="AL66" s="129">
        <f t="shared" si="41"/>
        <v>0</v>
      </c>
      <c r="AM66" s="129">
        <f t="shared" si="41"/>
        <v>0</v>
      </c>
      <c r="AN66" s="130">
        <f t="shared" si="15"/>
        <v>463780</v>
      </c>
    </row>
    <row r="67" spans="1:40" hidden="1" outlineLevel="1">
      <c r="A67" s="37" t="s">
        <v>105</v>
      </c>
      <c r="B67" s="74">
        <v>214310</v>
      </c>
      <c r="C67" s="74">
        <f>151403+57313</f>
        <v>208716</v>
      </c>
      <c r="D67" s="74">
        <f>179835+79291</f>
        <v>259126</v>
      </c>
      <c r="E67" s="74">
        <f>198232+89357</f>
        <v>287589</v>
      </c>
      <c r="F67" s="74">
        <f>131318+66497</f>
        <v>197815</v>
      </c>
      <c r="G67" s="74">
        <f>194385+89184</f>
        <v>283569</v>
      </c>
      <c r="H67" s="74">
        <f>224579+88671</f>
        <v>313250</v>
      </c>
      <c r="I67" s="74">
        <f>225673+91028</f>
        <v>316701</v>
      </c>
      <c r="J67" s="74">
        <f>285004+112069</f>
        <v>397073</v>
      </c>
      <c r="K67" s="74">
        <f>176385+64608</f>
        <v>240993</v>
      </c>
      <c r="L67" s="74">
        <f>197431+65572</f>
        <v>263003</v>
      </c>
      <c r="M67" s="74">
        <v>283621</v>
      </c>
      <c r="N67" s="73">
        <f t="shared" si="3"/>
        <v>3265766</v>
      </c>
      <c r="O67" s="74">
        <f>136838+50793</f>
        <v>187631</v>
      </c>
      <c r="P67" s="74">
        <f>136256+50424</f>
        <v>186680</v>
      </c>
      <c r="Q67" s="74">
        <f>164025+54161</f>
        <v>218186</v>
      </c>
      <c r="R67" s="74">
        <f>164784+50193</f>
        <v>214977</v>
      </c>
      <c r="S67" s="74">
        <f>163760+56664</f>
        <v>220424</v>
      </c>
      <c r="T67" s="74">
        <f>120707+36059</f>
        <v>156766</v>
      </c>
      <c r="U67" s="74">
        <f>124410+39178</f>
        <v>163588</v>
      </c>
      <c r="V67" s="74">
        <f>96331+27722</f>
        <v>124053</v>
      </c>
      <c r="W67" s="74">
        <f>115238+30467</f>
        <v>145705</v>
      </c>
      <c r="X67" s="74">
        <f>130002+33366</f>
        <v>163368</v>
      </c>
      <c r="Y67" s="74">
        <f>126629+38318</f>
        <v>164947</v>
      </c>
      <c r="Z67" s="74">
        <f>107950+30596</f>
        <v>138546</v>
      </c>
      <c r="AA67" s="73">
        <f t="shared" si="4"/>
        <v>2084871</v>
      </c>
      <c r="AB67" s="74">
        <f>97811+29194</f>
        <v>127005</v>
      </c>
      <c r="AC67" s="74">
        <f>76165+23853</f>
        <v>100018</v>
      </c>
      <c r="AD67" s="74">
        <f>63812+22585</f>
        <v>86397</v>
      </c>
      <c r="AE67" s="74">
        <f>48251+17257</f>
        <v>65508</v>
      </c>
      <c r="AF67" s="74">
        <f>39174+12102</f>
        <v>51276</v>
      </c>
      <c r="AG67" s="74"/>
      <c r="AH67" s="74"/>
      <c r="AI67" s="74"/>
      <c r="AJ67" s="74"/>
      <c r="AK67" s="74"/>
      <c r="AL67" s="74"/>
      <c r="AM67" s="74"/>
      <c r="AN67" s="73">
        <f t="shared" si="15"/>
        <v>430204</v>
      </c>
    </row>
    <row r="68" spans="1:40" hidden="1" outlineLevel="1">
      <c r="A68" s="37" t="s">
        <v>75</v>
      </c>
      <c r="B68" s="74">
        <v>12596</v>
      </c>
      <c r="C68" s="74">
        <v>13717</v>
      </c>
      <c r="D68" s="74">
        <v>41862</v>
      </c>
      <c r="E68" s="74">
        <v>28126</v>
      </c>
      <c r="F68" s="74">
        <v>31896</v>
      </c>
      <c r="G68" s="74">
        <v>18075</v>
      </c>
      <c r="H68" s="74">
        <v>8557</v>
      </c>
      <c r="I68" s="74">
        <v>5949</v>
      </c>
      <c r="J68" s="74">
        <v>19328</v>
      </c>
      <c r="K68" s="74">
        <v>8585</v>
      </c>
      <c r="L68" s="74">
        <v>6675</v>
      </c>
      <c r="M68" s="74">
        <v>19601</v>
      </c>
      <c r="N68" s="73">
        <f t="shared" si="3"/>
        <v>214967</v>
      </c>
      <c r="O68" s="74">
        <v>9108</v>
      </c>
      <c r="P68" s="74">
        <v>5315</v>
      </c>
      <c r="Q68" s="74">
        <f>6743+6924</f>
        <v>13667</v>
      </c>
      <c r="R68" s="74">
        <f>5001+3864</f>
        <v>8865</v>
      </c>
      <c r="S68" s="74">
        <f>4011+2646</f>
        <v>6657</v>
      </c>
      <c r="T68" s="74">
        <f>5316+3589</f>
        <v>8905</v>
      </c>
      <c r="U68" s="74">
        <f>5757+3971</f>
        <v>9728</v>
      </c>
      <c r="V68" s="74">
        <v>17268</v>
      </c>
      <c r="W68" s="74">
        <v>2119</v>
      </c>
      <c r="X68" s="74">
        <v>3892</v>
      </c>
      <c r="Y68" s="74">
        <f>3200+1457</f>
        <v>4657</v>
      </c>
      <c r="Z68" s="74">
        <v>3583</v>
      </c>
      <c r="AA68" s="73">
        <f t="shared" si="4"/>
        <v>93764</v>
      </c>
      <c r="AB68" s="74">
        <v>3630</v>
      </c>
      <c r="AC68" s="74">
        <v>4217</v>
      </c>
      <c r="AD68" s="74">
        <v>5399</v>
      </c>
      <c r="AE68" s="74">
        <v>5863</v>
      </c>
      <c r="AF68" s="74">
        <v>5753</v>
      </c>
      <c r="AG68" s="74"/>
      <c r="AH68" s="74"/>
      <c r="AI68" s="74"/>
      <c r="AJ68" s="74"/>
      <c r="AK68" s="74"/>
      <c r="AL68" s="74"/>
      <c r="AM68" s="74"/>
      <c r="AN68" s="73">
        <f t="shared" si="15"/>
        <v>24862</v>
      </c>
    </row>
    <row r="69" spans="1:40" hidden="1" outlineLevel="1">
      <c r="A69" s="37" t="s">
        <v>106</v>
      </c>
      <c r="B69" s="74">
        <v>11847</v>
      </c>
      <c r="C69" s="74">
        <v>13271</v>
      </c>
      <c r="D69" s="74">
        <v>28189</v>
      </c>
      <c r="E69" s="74">
        <v>24577</v>
      </c>
      <c r="F69" s="74">
        <v>19057</v>
      </c>
      <c r="G69" s="74">
        <v>13191</v>
      </c>
      <c r="H69" s="74">
        <v>8272</v>
      </c>
      <c r="I69" s="74">
        <v>5978</v>
      </c>
      <c r="J69" s="74">
        <v>10029</v>
      </c>
      <c r="K69" s="74">
        <v>4697</v>
      </c>
      <c r="L69" s="74">
        <v>5297</v>
      </c>
      <c r="M69" s="74">
        <v>11046</v>
      </c>
      <c r="N69" s="73">
        <f t="shared" si="3"/>
        <v>155451</v>
      </c>
      <c r="O69" s="74">
        <f>24871+6918</f>
        <v>31789</v>
      </c>
      <c r="P69" s="74">
        <f>30296+4922</f>
        <v>35218</v>
      </c>
      <c r="Q69" s="74">
        <v>23030</v>
      </c>
      <c r="R69" s="74">
        <v>23302</v>
      </c>
      <c r="S69" s="74">
        <v>33282</v>
      </c>
      <c r="T69" s="74">
        <v>13159</v>
      </c>
      <c r="U69" s="74">
        <v>13257</v>
      </c>
      <c r="V69" s="74">
        <f>8363+3922</f>
        <v>12285</v>
      </c>
      <c r="W69" s="74">
        <v>11466</v>
      </c>
      <c r="X69" s="74">
        <v>8039</v>
      </c>
      <c r="Y69" s="74">
        <v>11493</v>
      </c>
      <c r="Z69" s="74">
        <f>1448+6709</f>
        <v>8157</v>
      </c>
      <c r="AA69" s="73">
        <f t="shared" si="4"/>
        <v>224477</v>
      </c>
      <c r="AB69" s="74">
        <f>1767+2778</f>
        <v>4545</v>
      </c>
      <c r="AC69" s="74">
        <v>1669</v>
      </c>
      <c r="AD69" s="74">
        <v>2049</v>
      </c>
      <c r="AE69" s="74">
        <v>362</v>
      </c>
      <c r="AF69" s="74">
        <v>89</v>
      </c>
      <c r="AG69" s="74"/>
      <c r="AH69" s="74"/>
      <c r="AI69" s="74"/>
      <c r="AJ69" s="74"/>
      <c r="AK69" s="74"/>
      <c r="AL69" s="74"/>
      <c r="AM69" s="74"/>
      <c r="AN69" s="73">
        <f t="shared" si="15"/>
        <v>8714</v>
      </c>
    </row>
    <row r="70" spans="1:40" collapsed="1">
      <c r="A70" s="37" t="s">
        <v>107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3">
        <f t="shared" si="3"/>
        <v>0</v>
      </c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3">
        <f t="shared" si="4"/>
        <v>0</v>
      </c>
      <c r="AB70" s="74">
        <v>0</v>
      </c>
      <c r="AC70" s="74">
        <v>0</v>
      </c>
      <c r="AD70" s="74">
        <v>0</v>
      </c>
      <c r="AE70" s="74">
        <v>0</v>
      </c>
      <c r="AF70" s="74"/>
      <c r="AG70" s="74"/>
      <c r="AH70" s="74"/>
      <c r="AI70" s="74"/>
      <c r="AJ70" s="74"/>
      <c r="AK70" s="74"/>
      <c r="AL70" s="74"/>
      <c r="AM70" s="74"/>
      <c r="AN70" s="73">
        <f>SUM(AB70:AM70)</f>
        <v>0</v>
      </c>
    </row>
  </sheetData>
  <conditionalFormatting sqref="A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0FB0-D2C8-4F45-8695-54B10798827A}">
  <sheetPr>
    <tabColor theme="0" tint="-4.9989318521683403E-2"/>
  </sheetPr>
  <dimension ref="A1:AA59"/>
  <sheetViews>
    <sheetView workbookViewId="0">
      <selection activeCell="A24" sqref="A24"/>
    </sheetView>
  </sheetViews>
  <sheetFormatPr baseColWidth="10" defaultRowHeight="12.75" outlineLevelRow="1"/>
  <cols>
    <col min="1" max="1" width="38.7109375" bestFit="1" customWidth="1"/>
    <col min="3" max="3" width="13.42578125" bestFit="1" customWidth="1"/>
    <col min="4" max="6" width="12.42578125" bestFit="1" customWidth="1"/>
    <col min="7" max="7" width="14.42578125" bestFit="1" customWidth="1"/>
    <col min="8" max="11" width="12.42578125" bestFit="1" customWidth="1"/>
    <col min="12" max="12" width="15" bestFit="1" customWidth="1"/>
    <col min="13" max="13" width="12.42578125" bestFit="1" customWidth="1"/>
    <col min="14" max="14" width="11.7109375" bestFit="1" customWidth="1"/>
    <col min="15" max="15" width="13.42578125" bestFit="1" customWidth="1"/>
    <col min="16" max="16" width="11.85546875" bestFit="1" customWidth="1"/>
  </cols>
  <sheetData>
    <row r="1" spans="1:27" ht="21">
      <c r="A1" s="61" t="s">
        <v>67</v>
      </c>
      <c r="B1" s="62" t="s">
        <v>61</v>
      </c>
      <c r="C1" s="32">
        <v>44562</v>
      </c>
      <c r="D1" s="32">
        <v>44593</v>
      </c>
      <c r="E1" s="32">
        <v>44621</v>
      </c>
      <c r="F1" s="32">
        <v>44652</v>
      </c>
      <c r="G1" s="32">
        <v>44682</v>
      </c>
      <c r="H1" s="32">
        <v>44713</v>
      </c>
      <c r="I1" s="32">
        <v>44743</v>
      </c>
      <c r="J1" s="32">
        <v>44774</v>
      </c>
      <c r="K1" s="32">
        <v>44805</v>
      </c>
      <c r="L1" s="32">
        <v>44835</v>
      </c>
      <c r="M1" s="32">
        <v>44866</v>
      </c>
      <c r="N1" s="32">
        <v>44896</v>
      </c>
    </row>
    <row r="2" spans="1:27">
      <c r="A2" s="37" t="s">
        <v>3</v>
      </c>
      <c r="B2" s="57">
        <f>SUM(C2:N2)</f>
        <v>71.27</v>
      </c>
      <c r="C2" s="46"/>
      <c r="D2" s="46"/>
      <c r="E2" s="46"/>
      <c r="F2" s="46">
        <v>18.27</v>
      </c>
      <c r="G2" s="46">
        <v>4</v>
      </c>
      <c r="H2" s="46">
        <v>3</v>
      </c>
      <c r="I2" s="46">
        <v>2</v>
      </c>
      <c r="J2" s="46">
        <v>16</v>
      </c>
      <c r="K2" s="46">
        <v>10</v>
      </c>
      <c r="L2" s="46">
        <v>18</v>
      </c>
      <c r="M2" s="46"/>
      <c r="N2" s="46"/>
      <c r="V2" s="44"/>
      <c r="W2" s="44"/>
      <c r="X2" s="44"/>
      <c r="Y2" s="44"/>
      <c r="Z2" s="44"/>
      <c r="AA2" s="44"/>
    </row>
    <row r="3" spans="1:27">
      <c r="A3" s="37"/>
      <c r="B3" s="33"/>
      <c r="C3" s="34"/>
      <c r="D3" s="34"/>
      <c r="E3" s="34"/>
      <c r="F3" s="34"/>
      <c r="G3" s="34"/>
      <c r="H3" s="34"/>
      <c r="I3" s="34"/>
      <c r="J3" s="34"/>
      <c r="K3" s="36"/>
      <c r="L3" s="40"/>
      <c r="M3" s="34"/>
      <c r="N3" s="34"/>
      <c r="U3" t="s">
        <v>54</v>
      </c>
      <c r="V3" s="44"/>
      <c r="W3" s="44"/>
      <c r="X3" s="44"/>
      <c r="Y3" s="44"/>
      <c r="Z3" s="44"/>
      <c r="AA3" s="44"/>
    </row>
    <row r="4" spans="1:27" hidden="1" outlineLevel="1">
      <c r="A4" s="37" t="s">
        <v>55</v>
      </c>
      <c r="B4" s="33"/>
      <c r="C4" s="34"/>
      <c r="D4" s="34"/>
      <c r="E4" s="34"/>
      <c r="F4" s="34"/>
      <c r="G4" s="34"/>
      <c r="H4" s="34"/>
      <c r="I4" s="34"/>
      <c r="J4" s="34"/>
      <c r="K4" s="36"/>
      <c r="L4" s="34">
        <v>14260733</v>
      </c>
      <c r="M4" s="34">
        <v>25004206</v>
      </c>
      <c r="N4" s="34">
        <v>11821561</v>
      </c>
      <c r="U4" t="s">
        <v>52</v>
      </c>
      <c r="V4" s="44"/>
      <c r="W4" s="44"/>
      <c r="X4" s="44" t="e">
        <f>#REF!-#REF!</f>
        <v>#REF!</v>
      </c>
      <c r="Y4" s="44"/>
      <c r="Z4" s="44"/>
      <c r="AA4" s="44"/>
    </row>
    <row r="5" spans="1:27" hidden="1" outlineLevel="1">
      <c r="A5" s="37" t="s">
        <v>51</v>
      </c>
      <c r="B5" s="33"/>
      <c r="C5" s="34"/>
      <c r="D5" s="34"/>
      <c r="E5" s="34"/>
      <c r="F5" s="34"/>
      <c r="G5" s="34"/>
      <c r="H5" s="34"/>
      <c r="I5" s="34"/>
      <c r="J5" s="34"/>
      <c r="K5" s="46" t="e">
        <f>#REF!/K4*1000</f>
        <v>#REF!</v>
      </c>
      <c r="L5" s="46" t="e">
        <f>#REF!/L4*1000</f>
        <v>#REF!</v>
      </c>
      <c r="M5" s="47">
        <v>0.5</v>
      </c>
      <c r="N5" s="47">
        <v>0.5</v>
      </c>
      <c r="V5" s="44"/>
      <c r="W5" s="44"/>
      <c r="X5" s="44"/>
      <c r="Y5" s="44"/>
      <c r="Z5" s="44"/>
      <c r="AA5" s="44"/>
    </row>
    <row r="6" spans="1:27" s="53" customFormat="1" hidden="1" outlineLevel="1">
      <c r="A6" s="48" t="s">
        <v>62</v>
      </c>
      <c r="B6" s="49"/>
      <c r="C6" s="50" t="e">
        <f>#REF!</f>
        <v>#REF!</v>
      </c>
      <c r="D6" s="50" t="e">
        <f>#REF!</f>
        <v>#REF!</v>
      </c>
      <c r="E6" s="50" t="e">
        <f>#REF!</f>
        <v>#REF!</v>
      </c>
      <c r="F6" s="50" t="e">
        <f>#REF!</f>
        <v>#REF!</v>
      </c>
      <c r="G6" s="50" t="e">
        <f>#REF!</f>
        <v>#REF!</v>
      </c>
      <c r="H6" s="50" t="e">
        <f>#REF!</f>
        <v>#REF!</v>
      </c>
      <c r="I6" s="50" t="e">
        <f>#REF!</f>
        <v>#REF!</v>
      </c>
      <c r="J6" s="50" t="e">
        <f>#REF!</f>
        <v>#REF!</v>
      </c>
      <c r="K6" s="50" t="e">
        <f>#REF!</f>
        <v>#REF!</v>
      </c>
      <c r="L6" s="50" t="e">
        <f>#REF!</f>
        <v>#REF!</v>
      </c>
      <c r="M6" s="50" t="e">
        <f>#REF!</f>
        <v>#REF!</v>
      </c>
      <c r="N6" s="50" t="e">
        <f>#REF!</f>
        <v>#REF!</v>
      </c>
      <c r="O6"/>
      <c r="P6"/>
      <c r="Q6"/>
      <c r="R6"/>
      <c r="S6"/>
      <c r="T6"/>
      <c r="U6" t="s">
        <v>53</v>
      </c>
      <c r="V6" s="45">
        <v>5740.66</v>
      </c>
      <c r="W6" s="44">
        <v>2567.6999999999998</v>
      </c>
      <c r="X6" s="44">
        <v>2029.75</v>
      </c>
      <c r="Y6" s="45"/>
      <c r="Z6" s="45"/>
      <c r="AA6" s="45"/>
    </row>
    <row r="7" spans="1:27" hidden="1" outlineLevel="1">
      <c r="A7" s="37" t="s">
        <v>63</v>
      </c>
      <c r="B7" s="33"/>
      <c r="C7" s="52" t="e">
        <f>#REF!</f>
        <v>#REF!</v>
      </c>
      <c r="D7" s="52" t="e">
        <f>#REF!</f>
        <v>#REF!</v>
      </c>
      <c r="E7" s="52" t="e">
        <f>#REF!</f>
        <v>#REF!</v>
      </c>
      <c r="F7" s="52" t="e">
        <f>#REF!</f>
        <v>#REF!</v>
      </c>
      <c r="G7" s="52" t="e">
        <f>#REF!</f>
        <v>#REF!</v>
      </c>
      <c r="H7" s="52" t="e">
        <f>#REF!</f>
        <v>#REF!</v>
      </c>
      <c r="I7" s="52" t="e">
        <f>#REF!</f>
        <v>#REF!</v>
      </c>
      <c r="J7" s="52" t="e">
        <f>#REF!</f>
        <v>#REF!</v>
      </c>
      <c r="K7" s="52" t="e">
        <f>#REF!</f>
        <v>#REF!</v>
      </c>
      <c r="L7" s="52" t="e">
        <f>#REF!</f>
        <v>#REF!</v>
      </c>
      <c r="M7" s="52" t="e">
        <f>#REF!</f>
        <v>#REF!</v>
      </c>
      <c r="N7" s="52" t="e">
        <f>#REF!</f>
        <v>#REF!</v>
      </c>
    </row>
    <row r="8" spans="1:27" collapsed="1"/>
    <row r="10" spans="1:27" ht="21">
      <c r="A10" s="61" t="s">
        <v>68</v>
      </c>
      <c r="B10" s="62" t="s">
        <v>61</v>
      </c>
      <c r="C10" s="32">
        <v>44562</v>
      </c>
      <c r="D10" s="32">
        <v>44593</v>
      </c>
      <c r="E10" s="32">
        <v>44621</v>
      </c>
      <c r="F10" s="32">
        <v>44652</v>
      </c>
      <c r="G10" s="32">
        <v>44682</v>
      </c>
      <c r="H10" s="32">
        <v>44713</v>
      </c>
      <c r="I10" s="32">
        <v>44743</v>
      </c>
      <c r="J10" s="32">
        <v>44774</v>
      </c>
      <c r="K10" s="32">
        <v>44805</v>
      </c>
      <c r="L10" s="32">
        <v>44835</v>
      </c>
      <c r="M10" s="32">
        <v>44866</v>
      </c>
      <c r="N10" s="32">
        <v>44896</v>
      </c>
    </row>
    <row r="11" spans="1:27">
      <c r="A11" s="37" t="s">
        <v>45</v>
      </c>
      <c r="B11" s="59">
        <f>SUM(C11:N11)</f>
        <v>1016</v>
      </c>
      <c r="C11" s="54"/>
      <c r="D11" s="54"/>
      <c r="E11" s="54"/>
      <c r="F11" s="55"/>
      <c r="G11" s="55"/>
      <c r="H11" s="43">
        <v>94</v>
      </c>
      <c r="I11" s="43">
        <v>195</v>
      </c>
      <c r="J11" s="43">
        <v>98</v>
      </c>
      <c r="K11" s="43">
        <v>219</v>
      </c>
      <c r="L11" s="43">
        <v>210</v>
      </c>
      <c r="M11" s="42">
        <v>200</v>
      </c>
      <c r="N11" s="43"/>
    </row>
    <row r="12" spans="1:27">
      <c r="A12" s="38"/>
      <c r="B12" s="33"/>
      <c r="C12" s="34"/>
      <c r="D12" s="34"/>
      <c r="E12" s="34"/>
      <c r="F12" s="34"/>
      <c r="G12" s="34"/>
      <c r="H12" s="34"/>
      <c r="I12" s="34"/>
      <c r="J12" s="34"/>
      <c r="K12" s="36"/>
      <c r="L12" s="34"/>
      <c r="M12" s="34"/>
      <c r="N12" s="34"/>
    </row>
    <row r="13" spans="1:27" outlineLevel="1">
      <c r="A13" s="37" t="s">
        <v>56</v>
      </c>
      <c r="B13" s="33"/>
      <c r="C13" s="43"/>
      <c r="D13" s="43"/>
      <c r="E13" s="43"/>
      <c r="F13" s="43"/>
      <c r="G13" s="43"/>
      <c r="H13" s="34">
        <f>103600</f>
        <v>103600</v>
      </c>
      <c r="I13" s="34">
        <v>462300</v>
      </c>
      <c r="J13" s="34">
        <f>511700</f>
        <v>511700</v>
      </c>
      <c r="K13" s="34">
        <f>683100</f>
        <v>683100</v>
      </c>
      <c r="L13" s="34">
        <f>614800</f>
        <v>614800</v>
      </c>
      <c r="M13" s="40">
        <f>450000</f>
        <v>450000</v>
      </c>
      <c r="N13" s="34"/>
    </row>
    <row r="14" spans="1:27" outlineLevel="1">
      <c r="A14" s="37" t="s">
        <v>51</v>
      </c>
      <c r="B14" s="49"/>
      <c r="C14" s="50"/>
      <c r="D14" s="50"/>
      <c r="E14" s="50"/>
      <c r="F14" s="50"/>
      <c r="G14" s="50"/>
      <c r="H14" s="41">
        <f>H11/H13*1000</f>
        <v>0.90733590733590741</v>
      </c>
      <c r="I14" s="41">
        <f t="shared" ref="I14:N14" si="0">I11/I13*1000</f>
        <v>0.42180402336145356</v>
      </c>
      <c r="J14" s="41">
        <f t="shared" si="0"/>
        <v>0.19151846785225718</v>
      </c>
      <c r="K14" s="41">
        <f t="shared" si="0"/>
        <v>0.32059727711901626</v>
      </c>
      <c r="L14" s="41">
        <f t="shared" si="0"/>
        <v>0.34157449577098248</v>
      </c>
      <c r="M14" s="41">
        <f t="shared" si="0"/>
        <v>0.44444444444444448</v>
      </c>
      <c r="N14" s="41" t="e">
        <f t="shared" si="0"/>
        <v>#DIV/0!</v>
      </c>
    </row>
    <row r="15" spans="1:27" outlineLevel="1">
      <c r="A15" s="48" t="s">
        <v>62</v>
      </c>
      <c r="B15" s="33"/>
      <c r="C15" s="34"/>
      <c r="D15" s="34"/>
      <c r="E15" s="34"/>
      <c r="F15" s="34"/>
      <c r="G15" s="34"/>
      <c r="H15" s="50" t="e">
        <f>#REF!</f>
        <v>#REF!</v>
      </c>
      <c r="I15" s="50" t="e">
        <f>#REF!</f>
        <v>#REF!</v>
      </c>
      <c r="J15" s="50" t="e">
        <f>#REF!</f>
        <v>#REF!</v>
      </c>
      <c r="K15" s="50" t="e">
        <f>#REF!</f>
        <v>#REF!</v>
      </c>
      <c r="L15" s="50" t="e">
        <f>#REF!</f>
        <v>#REF!</v>
      </c>
      <c r="M15" s="50" t="e">
        <f>#REF!</f>
        <v>#REF!</v>
      </c>
      <c r="N15" s="50" t="e">
        <f>#REF!</f>
        <v>#REF!</v>
      </c>
    </row>
    <row r="16" spans="1:27" outlineLevel="1">
      <c r="A16" s="37" t="s">
        <v>63</v>
      </c>
      <c r="B16" s="33"/>
      <c r="C16" s="33"/>
      <c r="D16" s="33"/>
      <c r="E16" s="33"/>
      <c r="F16" s="33"/>
      <c r="G16" s="33"/>
      <c r="H16" s="60" t="e">
        <f>#REF!</f>
        <v>#REF!</v>
      </c>
      <c r="I16" s="60" t="e">
        <f>#REF!</f>
        <v>#REF!</v>
      </c>
      <c r="J16" s="60" t="e">
        <f>#REF!</f>
        <v>#REF!</v>
      </c>
      <c r="K16" s="60" t="e">
        <f>#REF!</f>
        <v>#REF!</v>
      </c>
      <c r="L16" s="60" t="e">
        <f>#REF!</f>
        <v>#REF!</v>
      </c>
      <c r="M16" s="60" t="e">
        <f>#REF!</f>
        <v>#REF!</v>
      </c>
      <c r="N16" s="60" t="e">
        <f>#REF!</f>
        <v>#REF!</v>
      </c>
    </row>
    <row r="17" spans="1:14">
      <c r="A17" s="37"/>
    </row>
    <row r="18" spans="1:14" ht="21">
      <c r="A18" s="61" t="s">
        <v>69</v>
      </c>
      <c r="B18" s="62" t="s">
        <v>61</v>
      </c>
      <c r="C18" s="32">
        <v>44562</v>
      </c>
      <c r="D18" s="32">
        <v>44593</v>
      </c>
      <c r="E18" s="32">
        <v>44621</v>
      </c>
      <c r="F18" s="32">
        <v>44652</v>
      </c>
      <c r="G18" s="32">
        <v>44682</v>
      </c>
      <c r="H18" s="32">
        <v>44713</v>
      </c>
      <c r="I18" s="32">
        <v>44743</v>
      </c>
      <c r="J18" s="32">
        <v>44774</v>
      </c>
      <c r="K18" s="32">
        <v>44805</v>
      </c>
      <c r="L18" s="32">
        <v>44835</v>
      </c>
      <c r="M18" s="32">
        <v>44866</v>
      </c>
      <c r="N18" s="32">
        <v>44896</v>
      </c>
    </row>
    <row r="19" spans="1:14">
      <c r="A19" s="37" t="s">
        <v>1</v>
      </c>
      <c r="B19" s="59">
        <f>SUM(C19:N19)</f>
        <v>2346.7891185696844</v>
      </c>
      <c r="C19" s="55">
        <f>112/1.11</f>
        <v>100.90090090090089</v>
      </c>
      <c r="D19" s="55">
        <f>226/1.11</f>
        <v>203.60360360360357</v>
      </c>
      <c r="E19" s="55">
        <f>261/1.1</f>
        <v>237.27272727272725</v>
      </c>
      <c r="F19" s="55">
        <f>348/1.06</f>
        <v>328.30188679245282</v>
      </c>
      <c r="G19" s="55">
        <f>387*0.93</f>
        <v>359.91</v>
      </c>
      <c r="H19" s="55">
        <v>460</v>
      </c>
      <c r="I19" s="55">
        <f>140*0.97</f>
        <v>135.79999999999998</v>
      </c>
      <c r="J19" s="55">
        <v>157</v>
      </c>
      <c r="K19" s="55">
        <v>157</v>
      </c>
      <c r="L19" s="55">
        <v>107</v>
      </c>
      <c r="M19" s="56">
        <v>100</v>
      </c>
      <c r="N19" s="55"/>
    </row>
    <row r="20" spans="1:14">
      <c r="A20" s="38"/>
      <c r="B20" s="33"/>
      <c r="C20" s="34"/>
      <c r="D20" s="34"/>
      <c r="E20" s="34"/>
      <c r="F20" s="34"/>
      <c r="G20" s="34"/>
      <c r="H20" s="34"/>
      <c r="I20" s="34"/>
      <c r="J20" s="34"/>
      <c r="K20" s="36"/>
      <c r="L20" s="34"/>
      <c r="M20" s="34"/>
      <c r="N20" s="34"/>
    </row>
    <row r="21" spans="1:14" hidden="1" outlineLevel="1">
      <c r="A21" s="48" t="s">
        <v>62</v>
      </c>
      <c r="B21" s="33"/>
      <c r="C21" s="50" t="e">
        <f>#REF!</f>
        <v>#REF!</v>
      </c>
      <c r="D21" s="50" t="e">
        <f>#REF!</f>
        <v>#REF!</v>
      </c>
      <c r="E21" s="50" t="e">
        <f>#REF!</f>
        <v>#REF!</v>
      </c>
      <c r="F21" s="50" t="e">
        <f>#REF!</f>
        <v>#REF!</v>
      </c>
      <c r="G21" s="50" t="e">
        <f>#REF!</f>
        <v>#REF!</v>
      </c>
      <c r="H21" s="50" t="e">
        <f>#REF!</f>
        <v>#REF!</v>
      </c>
      <c r="I21" s="50" t="e">
        <f>#REF!</f>
        <v>#REF!</v>
      </c>
      <c r="J21" s="50" t="e">
        <f>#REF!</f>
        <v>#REF!</v>
      </c>
      <c r="K21" s="50" t="e">
        <f>#REF!</f>
        <v>#REF!</v>
      </c>
      <c r="L21" s="50" t="e">
        <f>#REF!</f>
        <v>#REF!</v>
      </c>
      <c r="M21" s="50" t="e">
        <f>#REF!</f>
        <v>#REF!</v>
      </c>
      <c r="N21" s="50" t="e">
        <f>#REF!</f>
        <v>#REF!</v>
      </c>
    </row>
    <row r="22" spans="1:14" hidden="1" outlineLevel="1">
      <c r="A22" s="37" t="s">
        <v>63</v>
      </c>
      <c r="B22" s="33"/>
      <c r="C22" s="60" t="e">
        <f>#REF!</f>
        <v>#REF!</v>
      </c>
      <c r="D22" s="60" t="e">
        <f>#REF!</f>
        <v>#REF!</v>
      </c>
      <c r="E22" s="60" t="e">
        <f>#REF!</f>
        <v>#REF!</v>
      </c>
      <c r="F22" s="60" t="e">
        <f>#REF!</f>
        <v>#REF!</v>
      </c>
      <c r="G22" s="60" t="e">
        <f>#REF!</f>
        <v>#REF!</v>
      </c>
      <c r="H22" s="60" t="e">
        <f>#REF!</f>
        <v>#REF!</v>
      </c>
      <c r="I22" s="60" t="e">
        <f>#REF!</f>
        <v>#REF!</v>
      </c>
      <c r="J22" s="60" t="e">
        <f>#REF!</f>
        <v>#REF!</v>
      </c>
      <c r="K22" s="60" t="e">
        <f>#REF!</f>
        <v>#REF!</v>
      </c>
      <c r="L22" s="60" t="e">
        <f>#REF!</f>
        <v>#REF!</v>
      </c>
      <c r="M22" s="60" t="e">
        <f>#REF!</f>
        <v>#REF!</v>
      </c>
      <c r="N22" s="60" t="e">
        <f>#REF!</f>
        <v>#REF!</v>
      </c>
    </row>
    <row r="23" spans="1:14" collapsed="1"/>
    <row r="25" spans="1:14" ht="21">
      <c r="A25" s="61" t="s">
        <v>59</v>
      </c>
      <c r="B25" s="62" t="s">
        <v>61</v>
      </c>
      <c r="C25" s="32">
        <v>44562</v>
      </c>
      <c r="D25" s="32">
        <v>44593</v>
      </c>
      <c r="E25" s="32">
        <v>44621</v>
      </c>
      <c r="F25" s="32">
        <v>44652</v>
      </c>
      <c r="G25" s="32">
        <v>44682</v>
      </c>
      <c r="H25" s="32">
        <v>44713</v>
      </c>
      <c r="I25" s="32">
        <v>44743</v>
      </c>
      <c r="J25" s="32">
        <v>44774</v>
      </c>
      <c r="K25" s="32">
        <v>44805</v>
      </c>
      <c r="L25" s="32">
        <v>44835</v>
      </c>
      <c r="M25" s="32">
        <v>44866</v>
      </c>
      <c r="N25" s="32">
        <v>44896</v>
      </c>
    </row>
    <row r="26" spans="1:14">
      <c r="A26" s="37" t="s">
        <v>30</v>
      </c>
      <c r="B26" s="59">
        <f>SUM(C26:N26)</f>
        <v>9371.5532800000001</v>
      </c>
      <c r="C26" s="43">
        <v>973</v>
      </c>
      <c r="D26" s="55">
        <v>795</v>
      </c>
      <c r="E26" s="55">
        <v>524</v>
      </c>
      <c r="F26" s="55">
        <v>748</v>
      </c>
      <c r="G26" s="55">
        <v>1217</v>
      </c>
      <c r="H26" s="55">
        <v>1205</v>
      </c>
      <c r="I26" s="55">
        <v>789</v>
      </c>
      <c r="J26" s="55">
        <v>404</v>
      </c>
      <c r="K26" s="55">
        <v>671</v>
      </c>
      <c r="L26" s="55">
        <v>1159</v>
      </c>
      <c r="M26" s="56">
        <f>M28/1000*M29</f>
        <v>886.55327999999997</v>
      </c>
      <c r="N26" s="56">
        <f>N28/1000*N29</f>
        <v>0</v>
      </c>
    </row>
    <row r="27" spans="1:14">
      <c r="A27" s="37"/>
      <c r="B27" s="33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5"/>
    </row>
    <row r="28" spans="1:14" outlineLevel="1">
      <c r="A28" s="37" t="s">
        <v>58</v>
      </c>
      <c r="B28" s="33"/>
      <c r="C28" s="34"/>
      <c r="D28" s="34"/>
      <c r="E28" s="34"/>
      <c r="F28" s="34"/>
      <c r="G28" s="34"/>
      <c r="H28" s="34"/>
      <c r="I28" s="34">
        <v>3286710</v>
      </c>
      <c r="J28" s="34">
        <v>1712662</v>
      </c>
      <c r="K28" s="36">
        <v>2729574</v>
      </c>
      <c r="L28" s="34">
        <v>3785366</v>
      </c>
      <c r="M28" s="40">
        <v>4925296</v>
      </c>
      <c r="N28" s="34"/>
    </row>
    <row r="29" spans="1:14" outlineLevel="1">
      <c r="A29" s="37" t="s">
        <v>51</v>
      </c>
      <c r="B29" s="33"/>
      <c r="C29" s="43"/>
      <c r="D29" s="43"/>
      <c r="E29" s="43"/>
      <c r="F29" s="43"/>
      <c r="G29" s="43"/>
      <c r="H29" s="43"/>
      <c r="I29" s="43">
        <f>I26/I28*1000</f>
        <v>0.24005768686619749</v>
      </c>
      <c r="J29" s="43">
        <f>J26/J28*1000</f>
        <v>0.2358900939006062</v>
      </c>
      <c r="K29" s="43">
        <f>K26/K28*1000</f>
        <v>0.24582590543432786</v>
      </c>
      <c r="L29" s="43">
        <f>L26/L28*1000</f>
        <v>0.30617911187451891</v>
      </c>
      <c r="M29" s="42">
        <v>0.18</v>
      </c>
      <c r="N29" s="41"/>
    </row>
    <row r="30" spans="1:14" outlineLevel="1">
      <c r="A30" s="38"/>
      <c r="B30" s="3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2"/>
      <c r="N30" s="41"/>
    </row>
    <row r="31" spans="1:14" outlineLevel="1">
      <c r="A31" s="48" t="s">
        <v>62</v>
      </c>
      <c r="B31" s="49"/>
      <c r="C31" s="51" t="e">
        <f>#REF!</f>
        <v>#REF!</v>
      </c>
      <c r="D31" s="51" t="e">
        <f>#REF!</f>
        <v>#REF!</v>
      </c>
      <c r="E31" s="51" t="e">
        <f>#REF!</f>
        <v>#REF!</v>
      </c>
      <c r="F31" s="51" t="e">
        <f>#REF!</f>
        <v>#REF!</v>
      </c>
      <c r="G31" s="51" t="e">
        <f>#REF!</f>
        <v>#REF!</v>
      </c>
      <c r="H31" s="51" t="e">
        <f>#REF!</f>
        <v>#REF!</v>
      </c>
      <c r="I31" s="51" t="e">
        <f>#REF!</f>
        <v>#REF!</v>
      </c>
      <c r="J31" s="51" t="e">
        <f>#REF!</f>
        <v>#REF!</v>
      </c>
      <c r="K31" s="51" t="e">
        <f>#REF!</f>
        <v>#REF!</v>
      </c>
      <c r="L31" s="51" t="e">
        <f>#REF!</f>
        <v>#REF!</v>
      </c>
      <c r="M31" s="51" t="e">
        <f>#REF!</f>
        <v>#REF!</v>
      </c>
      <c r="N31" s="51" t="e">
        <f>#REF!</f>
        <v>#REF!</v>
      </c>
    </row>
    <row r="32" spans="1:14" outlineLevel="1">
      <c r="A32" s="37" t="s">
        <v>63</v>
      </c>
      <c r="B32" s="33"/>
      <c r="C32" s="52" t="e">
        <f>#REF!</f>
        <v>#REF!</v>
      </c>
      <c r="D32" s="52" t="e">
        <f>#REF!</f>
        <v>#REF!</v>
      </c>
      <c r="E32" s="52" t="e">
        <f>#REF!</f>
        <v>#REF!</v>
      </c>
      <c r="F32" s="52" t="e">
        <f>#REF!</f>
        <v>#REF!</v>
      </c>
      <c r="G32" s="52" t="e">
        <f>#REF!</f>
        <v>#REF!</v>
      </c>
      <c r="H32" s="52" t="e">
        <f>#REF!</f>
        <v>#REF!</v>
      </c>
      <c r="I32" s="52" t="e">
        <f>#REF!</f>
        <v>#REF!</v>
      </c>
      <c r="J32" s="52" t="e">
        <f>#REF!</f>
        <v>#REF!</v>
      </c>
      <c r="K32" s="52" t="e">
        <f>#REF!</f>
        <v>#REF!</v>
      </c>
      <c r="L32" s="52" t="e">
        <f>#REF!</f>
        <v>#REF!</v>
      </c>
      <c r="M32" s="52" t="e">
        <f>#REF!</f>
        <v>#REF!</v>
      </c>
      <c r="N32" s="52" t="e">
        <f>#REF!</f>
        <v>#REF!</v>
      </c>
    </row>
    <row r="34" spans="1:14" ht="21">
      <c r="A34" s="61" t="s">
        <v>66</v>
      </c>
      <c r="B34" s="62" t="s">
        <v>61</v>
      </c>
      <c r="C34" s="32">
        <v>44562</v>
      </c>
      <c r="D34" s="32">
        <v>44593</v>
      </c>
      <c r="E34" s="32">
        <v>44621</v>
      </c>
      <c r="F34" s="32">
        <v>44652</v>
      </c>
      <c r="G34" s="32">
        <v>44682</v>
      </c>
      <c r="H34" s="32">
        <v>44713</v>
      </c>
      <c r="I34" s="32">
        <v>44743</v>
      </c>
      <c r="J34" s="32">
        <v>44774</v>
      </c>
      <c r="K34" s="32">
        <v>44805</v>
      </c>
      <c r="L34" s="32">
        <v>44835</v>
      </c>
      <c r="M34" s="32">
        <v>44866</v>
      </c>
      <c r="N34" s="32">
        <v>44896</v>
      </c>
    </row>
    <row r="35" spans="1:14">
      <c r="A35" s="33" t="s">
        <v>65</v>
      </c>
      <c r="B35" s="59">
        <f>SUM(C35:N35)</f>
        <v>127.491</v>
      </c>
      <c r="C35" s="55"/>
      <c r="D35" s="55"/>
      <c r="E35" s="55"/>
      <c r="F35" s="55"/>
      <c r="G35" s="55"/>
      <c r="H35" s="55"/>
      <c r="I35" s="55"/>
      <c r="J35" s="55"/>
      <c r="K35" s="55"/>
      <c r="L35" s="55">
        <f>67.72/2*0.99</f>
        <v>33.5214</v>
      </c>
      <c r="M35" s="55">
        <f>195.77/2*0.96</f>
        <v>93.9696</v>
      </c>
      <c r="N35" s="55"/>
    </row>
    <row r="36" spans="1:14">
      <c r="A36" s="38"/>
      <c r="B36" s="33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55"/>
    </row>
    <row r="37" spans="1:14" hidden="1" outlineLevel="1">
      <c r="A37" s="37" t="s">
        <v>60</v>
      </c>
      <c r="B37" s="33"/>
      <c r="C37" s="34"/>
      <c r="D37" s="34"/>
      <c r="E37" s="34"/>
      <c r="F37" s="34"/>
      <c r="G37" s="34"/>
      <c r="H37" s="34"/>
      <c r="I37" s="34"/>
      <c r="J37" s="34"/>
      <c r="K37" s="36"/>
      <c r="L37" s="34">
        <v>500</v>
      </c>
      <c r="M37" s="40">
        <v>85200</v>
      </c>
      <c r="N37" s="34"/>
    </row>
    <row r="38" spans="1:14" hidden="1" outlineLevel="1">
      <c r="A38" s="37" t="s">
        <v>51</v>
      </c>
      <c r="B38" s="33"/>
      <c r="C38" s="43"/>
      <c r="D38" s="43"/>
      <c r="E38" s="43"/>
      <c r="F38" s="43"/>
      <c r="G38" s="43"/>
      <c r="H38" s="43"/>
      <c r="I38" s="43"/>
      <c r="J38" s="43"/>
      <c r="K38" s="43"/>
      <c r="L38" s="43">
        <f>L35/L37*1000</f>
        <v>67.0428</v>
      </c>
      <c r="M38" s="43">
        <f>M35/M37*1000</f>
        <v>1.1029295774647887</v>
      </c>
      <c r="N38" s="43" t="e">
        <f>N35/N37*1000</f>
        <v>#DIV/0!</v>
      </c>
    </row>
    <row r="39" spans="1:14" hidden="1" outlineLevel="1">
      <c r="A39" s="48" t="s">
        <v>62</v>
      </c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 t="e">
        <f>#REF!</f>
        <v>#REF!</v>
      </c>
      <c r="M39" s="50" t="e">
        <f>#REF!</f>
        <v>#REF!</v>
      </c>
      <c r="N39" s="50" t="e">
        <f>#REF!</f>
        <v>#REF!</v>
      </c>
    </row>
    <row r="40" spans="1:14" hidden="1" outlineLevel="1">
      <c r="A40" s="37" t="s">
        <v>63</v>
      </c>
      <c r="B40" s="33"/>
      <c r="C40" s="43"/>
      <c r="D40" s="43"/>
      <c r="E40" s="43"/>
      <c r="F40" s="43"/>
      <c r="G40" s="43"/>
      <c r="H40" s="43"/>
      <c r="I40" s="52"/>
      <c r="J40" s="52"/>
      <c r="K40" s="52"/>
      <c r="L40" s="52" t="e">
        <f>#REF!</f>
        <v>#REF!</v>
      </c>
      <c r="M40" s="52" t="e">
        <f>#REF!</f>
        <v>#REF!</v>
      </c>
      <c r="N40" s="52" t="e">
        <f>#REF!</f>
        <v>#REF!</v>
      </c>
    </row>
    <row r="41" spans="1:14" collapsed="1"/>
    <row r="42" spans="1:14" ht="21">
      <c r="A42" s="61" t="s">
        <v>76</v>
      </c>
      <c r="B42" s="62" t="s">
        <v>61</v>
      </c>
      <c r="C42" s="32">
        <v>44562</v>
      </c>
      <c r="D42" s="32">
        <v>44593</v>
      </c>
      <c r="E42" s="32">
        <v>44621</v>
      </c>
      <c r="F42" s="32">
        <v>44652</v>
      </c>
      <c r="G42" s="32">
        <v>44682</v>
      </c>
      <c r="H42" s="32">
        <v>44713</v>
      </c>
      <c r="I42" s="32">
        <v>44743</v>
      </c>
      <c r="J42" s="32">
        <v>44774</v>
      </c>
      <c r="K42" s="32">
        <v>44805</v>
      </c>
      <c r="L42" s="32">
        <v>44835</v>
      </c>
      <c r="M42" s="32">
        <v>44866</v>
      </c>
      <c r="N42" s="32">
        <v>44896</v>
      </c>
    </row>
    <row r="43" spans="1:14">
      <c r="A43" s="37" t="s">
        <v>72</v>
      </c>
      <c r="B43" s="59">
        <f>SUM(C43:N43)</f>
        <v>371.02367731367735</v>
      </c>
      <c r="C43" s="43">
        <v>69.369369369369366</v>
      </c>
      <c r="D43" s="43">
        <v>31.818181818181817</v>
      </c>
      <c r="E43" s="43">
        <v>26.126126126126124</v>
      </c>
      <c r="F43" s="43">
        <v>80</v>
      </c>
      <c r="G43" s="43">
        <v>70</v>
      </c>
      <c r="H43" s="43">
        <v>47</v>
      </c>
      <c r="I43" s="43">
        <v>7</v>
      </c>
      <c r="J43" s="43">
        <v>4.4800000000000004</v>
      </c>
      <c r="K43" s="43">
        <v>19.38</v>
      </c>
      <c r="L43" s="43">
        <v>8</v>
      </c>
      <c r="M43" s="43">
        <v>7.85</v>
      </c>
      <c r="N43" s="56"/>
    </row>
    <row r="44" spans="1:14">
      <c r="A44" s="38"/>
      <c r="B44" s="3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2"/>
      <c r="N44" s="41"/>
    </row>
    <row r="45" spans="1:14" hidden="1" outlineLevel="1">
      <c r="A45" s="48" t="s">
        <v>62</v>
      </c>
      <c r="B45" s="49"/>
      <c r="C45" s="50" t="e">
        <f>#REF!</f>
        <v>#REF!</v>
      </c>
      <c r="D45" s="50" t="e">
        <f>#REF!</f>
        <v>#REF!</v>
      </c>
      <c r="E45" s="50" t="e">
        <f>#REF!</f>
        <v>#REF!</v>
      </c>
      <c r="F45" s="50" t="e">
        <f>#REF!</f>
        <v>#REF!</v>
      </c>
      <c r="G45" s="50" t="e">
        <f>#REF!</f>
        <v>#REF!</v>
      </c>
      <c r="H45" s="50" t="e">
        <f>#REF!</f>
        <v>#REF!</v>
      </c>
      <c r="I45" s="50" t="e">
        <f>#REF!</f>
        <v>#REF!</v>
      </c>
      <c r="J45" s="50" t="e">
        <f>#REF!</f>
        <v>#REF!</v>
      </c>
      <c r="K45" s="50" t="e">
        <f>#REF!</f>
        <v>#REF!</v>
      </c>
      <c r="L45" s="50" t="e">
        <f>#REF!</f>
        <v>#REF!</v>
      </c>
      <c r="M45" s="50" t="e">
        <f>#REF!</f>
        <v>#REF!</v>
      </c>
      <c r="N45" s="50" t="e">
        <f>#REF!</f>
        <v>#REF!</v>
      </c>
    </row>
    <row r="46" spans="1:14" hidden="1" outlineLevel="1">
      <c r="A46" s="37" t="s">
        <v>63</v>
      </c>
      <c r="B46" s="33"/>
      <c r="C46" s="52" t="e">
        <f>#REF!</f>
        <v>#REF!</v>
      </c>
      <c r="D46" s="52" t="e">
        <f>#REF!</f>
        <v>#REF!</v>
      </c>
      <c r="E46" s="52" t="e">
        <f>#REF!</f>
        <v>#REF!</v>
      </c>
      <c r="F46" s="52" t="e">
        <f>#REF!</f>
        <v>#REF!</v>
      </c>
      <c r="G46" s="52" t="e">
        <f>#REF!</f>
        <v>#REF!</v>
      </c>
      <c r="H46" s="52" t="e">
        <f>#REF!</f>
        <v>#REF!</v>
      </c>
      <c r="I46" s="52" t="e">
        <f>#REF!</f>
        <v>#REF!</v>
      </c>
      <c r="J46" s="52" t="e">
        <f>#REF!</f>
        <v>#REF!</v>
      </c>
      <c r="K46" s="52" t="e">
        <f>#REF!</f>
        <v>#REF!</v>
      </c>
      <c r="L46" s="52" t="e">
        <f>#REF!</f>
        <v>#REF!</v>
      </c>
      <c r="M46" s="52" t="e">
        <f>#REF!</f>
        <v>#REF!</v>
      </c>
      <c r="N46" s="52" t="e">
        <f>#REF!</f>
        <v>#REF!</v>
      </c>
    </row>
    <row r="47" spans="1:14" collapsed="1"/>
    <row r="48" spans="1:14" ht="21">
      <c r="A48" s="61" t="s">
        <v>77</v>
      </c>
      <c r="B48" s="62" t="s">
        <v>61</v>
      </c>
      <c r="C48" s="32">
        <v>44562</v>
      </c>
      <c r="D48" s="32">
        <v>44593</v>
      </c>
      <c r="E48" s="32">
        <v>44621</v>
      </c>
      <c r="F48" s="32">
        <v>44652</v>
      </c>
      <c r="G48" s="32">
        <v>44682</v>
      </c>
      <c r="H48" s="32">
        <v>44713</v>
      </c>
      <c r="I48" s="32">
        <v>44743</v>
      </c>
      <c r="J48" s="32">
        <v>44774</v>
      </c>
      <c r="K48" s="32">
        <v>44805</v>
      </c>
      <c r="L48" s="32">
        <v>44835</v>
      </c>
      <c r="M48" s="32">
        <v>44866</v>
      </c>
      <c r="N48" s="32">
        <v>44896</v>
      </c>
    </row>
    <row r="49" spans="1:14">
      <c r="A49" s="37" t="s">
        <v>73</v>
      </c>
      <c r="B49" s="59">
        <f>SUM(C49:N49)</f>
        <v>319.45571428571429</v>
      </c>
      <c r="C49" s="43">
        <v>5</v>
      </c>
      <c r="D49" s="43">
        <v>7.1428571428571423</v>
      </c>
      <c r="E49" s="43">
        <v>7.1428571428571423</v>
      </c>
      <c r="F49" s="43">
        <v>10</v>
      </c>
      <c r="G49" s="43">
        <v>9</v>
      </c>
      <c r="H49" s="43">
        <v>10</v>
      </c>
      <c r="I49" s="43">
        <v>1</v>
      </c>
      <c r="J49" s="43">
        <v>14.17</v>
      </c>
      <c r="K49" s="43">
        <v>100</v>
      </c>
      <c r="L49" s="43">
        <v>95</v>
      </c>
      <c r="M49" s="43">
        <v>61</v>
      </c>
      <c r="N49" s="56"/>
    </row>
    <row r="50" spans="1:14" ht="12" customHeight="1">
      <c r="A50" s="38"/>
      <c r="B50" s="3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2"/>
      <c r="N50" s="41"/>
    </row>
    <row r="51" spans="1:14" hidden="1" outlineLevel="1">
      <c r="A51" s="48" t="s">
        <v>62</v>
      </c>
      <c r="B51" s="49"/>
      <c r="C51" s="50" t="e">
        <f>#REF!</f>
        <v>#REF!</v>
      </c>
      <c r="D51" s="50" t="e">
        <f>#REF!</f>
        <v>#REF!</v>
      </c>
      <c r="E51" s="50" t="e">
        <f>#REF!</f>
        <v>#REF!</v>
      </c>
      <c r="F51" s="50" t="e">
        <f>#REF!</f>
        <v>#REF!</v>
      </c>
      <c r="G51" s="50" t="e">
        <f>#REF!</f>
        <v>#REF!</v>
      </c>
      <c r="H51" s="50" t="e">
        <f>#REF!</f>
        <v>#REF!</v>
      </c>
      <c r="I51" s="50" t="e">
        <f>#REF!</f>
        <v>#REF!</v>
      </c>
      <c r="J51" s="50" t="e">
        <f>#REF!</f>
        <v>#REF!</v>
      </c>
      <c r="K51" s="50" t="e">
        <f>#REF!</f>
        <v>#REF!</v>
      </c>
      <c r="L51" s="50" t="e">
        <f>#REF!</f>
        <v>#REF!</v>
      </c>
      <c r="M51" s="50" t="e">
        <f>#REF!</f>
        <v>#REF!</v>
      </c>
      <c r="N51" s="50" t="e">
        <f>#REF!</f>
        <v>#REF!</v>
      </c>
    </row>
    <row r="52" spans="1:14" hidden="1" outlineLevel="1">
      <c r="A52" s="37" t="s">
        <v>63</v>
      </c>
      <c r="B52" s="33"/>
      <c r="C52" s="52" t="e">
        <f>#REF!</f>
        <v>#REF!</v>
      </c>
      <c r="D52" s="52" t="e">
        <f>#REF!</f>
        <v>#REF!</v>
      </c>
      <c r="E52" s="52" t="e">
        <f>#REF!</f>
        <v>#REF!</v>
      </c>
      <c r="F52" s="52" t="e">
        <f>#REF!</f>
        <v>#REF!</v>
      </c>
      <c r="G52" s="52" t="e">
        <f>#REF!</f>
        <v>#REF!</v>
      </c>
      <c r="H52" s="52" t="e">
        <f>#REF!</f>
        <v>#REF!</v>
      </c>
      <c r="I52" s="52" t="e">
        <f>#REF!</f>
        <v>#REF!</v>
      </c>
      <c r="J52" s="52" t="e">
        <f>#REF!</f>
        <v>#REF!</v>
      </c>
      <c r="K52" s="52" t="e">
        <f>#REF!</f>
        <v>#REF!</v>
      </c>
      <c r="L52" s="52" t="e">
        <f>#REF!</f>
        <v>#REF!</v>
      </c>
      <c r="M52" s="52" t="e">
        <f>#REF!</f>
        <v>#REF!</v>
      </c>
      <c r="N52" s="52" t="e">
        <f>#REF!</f>
        <v>#REF!</v>
      </c>
    </row>
    <row r="53" spans="1:14" collapsed="1"/>
    <row r="54" spans="1:14" ht="21">
      <c r="A54" s="61" t="s">
        <v>78</v>
      </c>
      <c r="B54" s="62" t="s">
        <v>61</v>
      </c>
      <c r="C54" s="32">
        <v>44562</v>
      </c>
      <c r="D54" s="32">
        <v>44593</v>
      </c>
      <c r="E54" s="32">
        <v>44621</v>
      </c>
      <c r="F54" s="32">
        <v>44652</v>
      </c>
      <c r="G54" s="32">
        <v>44682</v>
      </c>
      <c r="H54" s="32">
        <v>44713</v>
      </c>
      <c r="I54" s="32">
        <v>44743</v>
      </c>
      <c r="J54" s="32">
        <v>44774</v>
      </c>
      <c r="K54" s="32">
        <v>44805</v>
      </c>
      <c r="L54" s="32">
        <v>44835</v>
      </c>
      <c r="M54" s="32">
        <v>44866</v>
      </c>
      <c r="N54" s="32">
        <v>44896</v>
      </c>
    </row>
    <row r="55" spans="1:14">
      <c r="A55" s="37" t="s">
        <v>75</v>
      </c>
      <c r="B55" s="59">
        <f>SUM(C55:N55)</f>
        <v>11</v>
      </c>
      <c r="C55" s="43">
        <v>0</v>
      </c>
      <c r="D55" s="43"/>
      <c r="E55" s="43">
        <v>3</v>
      </c>
      <c r="F55" s="43">
        <v>0</v>
      </c>
      <c r="G55" s="43">
        <v>0</v>
      </c>
      <c r="H55" s="43">
        <v>2</v>
      </c>
      <c r="I55" s="42">
        <v>1</v>
      </c>
      <c r="J55" s="42">
        <v>1</v>
      </c>
      <c r="K55" s="42">
        <v>2</v>
      </c>
      <c r="L55" s="42">
        <v>1</v>
      </c>
      <c r="M55" s="42">
        <v>1</v>
      </c>
      <c r="N55" s="56"/>
    </row>
    <row r="56" spans="1:14">
      <c r="A56" s="38"/>
      <c r="B56" s="3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2"/>
      <c r="N56" s="41"/>
    </row>
    <row r="57" spans="1:14" hidden="1" outlineLevel="1">
      <c r="A57" s="48" t="s">
        <v>62</v>
      </c>
      <c r="B57" s="49"/>
      <c r="C57" s="50" t="e">
        <f>#REF!</f>
        <v>#REF!</v>
      </c>
      <c r="D57" s="50" t="e">
        <f>#REF!</f>
        <v>#REF!</v>
      </c>
      <c r="E57" s="50" t="e">
        <f>#REF!</f>
        <v>#REF!</v>
      </c>
      <c r="F57" s="50" t="e">
        <f>#REF!</f>
        <v>#REF!</v>
      </c>
      <c r="G57" s="50" t="e">
        <f>#REF!</f>
        <v>#REF!</v>
      </c>
      <c r="H57" s="50" t="e">
        <f>#REF!</f>
        <v>#REF!</v>
      </c>
      <c r="I57" s="50" t="e">
        <f>#REF!</f>
        <v>#REF!</v>
      </c>
      <c r="J57" s="50" t="e">
        <f>#REF!</f>
        <v>#REF!</v>
      </c>
      <c r="K57" s="50" t="e">
        <f>#REF!</f>
        <v>#REF!</v>
      </c>
      <c r="L57" s="50" t="e">
        <f>#REF!</f>
        <v>#REF!</v>
      </c>
      <c r="M57" s="50" t="e">
        <f>#REF!</f>
        <v>#REF!</v>
      </c>
      <c r="N57" s="50" t="e">
        <f>#REF!</f>
        <v>#REF!</v>
      </c>
    </row>
    <row r="58" spans="1:14" hidden="1" outlineLevel="1">
      <c r="A58" s="37" t="s">
        <v>63</v>
      </c>
      <c r="B58" s="33"/>
      <c r="C58" s="52" t="e">
        <f>#REF!</f>
        <v>#REF!</v>
      </c>
      <c r="D58" s="52" t="e">
        <f>#REF!</f>
        <v>#REF!</v>
      </c>
      <c r="E58" s="52" t="e">
        <f>#REF!</f>
        <v>#REF!</v>
      </c>
      <c r="F58" s="52" t="e">
        <f>#REF!</f>
        <v>#REF!</v>
      </c>
      <c r="G58" s="52" t="e">
        <f>#REF!</f>
        <v>#REF!</v>
      </c>
      <c r="H58" s="52" t="e">
        <f>#REF!</f>
        <v>#REF!</v>
      </c>
      <c r="I58" s="52" t="e">
        <f>#REF!</f>
        <v>#REF!</v>
      </c>
      <c r="J58" s="52" t="e">
        <f>#REF!</f>
        <v>#REF!</v>
      </c>
      <c r="K58" s="52" t="e">
        <f>#REF!</f>
        <v>#REF!</v>
      </c>
      <c r="L58" s="52" t="e">
        <f>#REF!</f>
        <v>#REF!</v>
      </c>
      <c r="M58" s="52" t="e">
        <f>#REF!</f>
        <v>#REF!</v>
      </c>
      <c r="N58" s="52" t="e">
        <f>#REF!</f>
        <v>#REF!</v>
      </c>
    </row>
    <row r="59" spans="1:14" collapsed="1"/>
  </sheetData>
  <conditionalFormatting sqref="A1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0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8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5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4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2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8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5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:N7 C11:N15">
    <cfRule type="cellIs" dxfId="6" priority="59" stopIfTrue="1" operator="equal">
      <formula>0</formula>
    </cfRule>
  </conditionalFormatting>
  <conditionalFormatting sqref="C19:N21">
    <cfRule type="cellIs" dxfId="5" priority="58" stopIfTrue="1" operator="equal">
      <formula>0</formula>
    </cfRule>
  </conditionalFormatting>
  <conditionalFormatting sqref="C26:N32">
    <cfRule type="cellIs" dxfId="4" priority="48" stopIfTrue="1" operator="equal">
      <formula>0</formula>
    </cfRule>
  </conditionalFormatting>
  <conditionalFormatting sqref="C35:N40">
    <cfRule type="cellIs" dxfId="3" priority="39" stopIfTrue="1" operator="equal">
      <formula>0</formula>
    </cfRule>
  </conditionalFormatting>
  <conditionalFormatting sqref="C43:N46">
    <cfRule type="cellIs" dxfId="2" priority="24" stopIfTrue="1" operator="equal">
      <formula>0</formula>
    </cfRule>
  </conditionalFormatting>
  <conditionalFormatting sqref="C49:N52">
    <cfRule type="cellIs" dxfId="1" priority="13" stopIfTrue="1" operator="equal">
      <formula>0</formula>
    </cfRule>
  </conditionalFormatting>
  <conditionalFormatting sqref="C55:N58">
    <cfRule type="cellIs" dxfId="0" priority="2" stopIfTrue="1" operator="equal">
      <formula>0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081F9B35EAFD4DBE25464326FB5856" ma:contentTypeVersion="14" ma:contentTypeDescription="Ein neues Dokument erstellen." ma:contentTypeScope="" ma:versionID="fd89a10ca603f25dc4302071b0c45aec">
  <xsd:schema xmlns:xsd="http://www.w3.org/2001/XMLSchema" xmlns:xs="http://www.w3.org/2001/XMLSchema" xmlns:p="http://schemas.microsoft.com/office/2006/metadata/properties" xmlns:ns3="5b387551-6b98-43f9-a38d-30f511256171" xmlns:ns4="4bee1bf6-9bee-48b0-a1e2-2c953359787e" targetNamespace="http://schemas.microsoft.com/office/2006/metadata/properties" ma:root="true" ma:fieldsID="0ebcc833885bc35aa8c8c9fb3d569030" ns3:_="" ns4:_="">
    <xsd:import namespace="5b387551-6b98-43f9-a38d-30f511256171"/>
    <xsd:import namespace="4bee1bf6-9bee-48b0-a1e2-2c95335978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87551-6b98-43f9-a38d-30f5112561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e1bf6-9bee-48b0-a1e2-2c9533597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ee1bf6-9bee-48b0-a1e2-2c953359787e" xsi:nil="true"/>
  </documentManagement>
</p:properties>
</file>

<file path=customXml/itemProps1.xml><?xml version="1.0" encoding="utf-8"?>
<ds:datastoreItem xmlns:ds="http://schemas.openxmlformats.org/officeDocument/2006/customXml" ds:itemID="{A7D28655-A7BB-494E-9ABF-D9FE9AA8D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387551-6b98-43f9-a38d-30f511256171"/>
    <ds:schemaRef ds:uri="4bee1bf6-9bee-48b0-a1e2-2c95335978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BBBF53-CF7F-4E70-9B96-ABD8DB944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8F778-2101-4078-975E-3824EA56F52C}">
  <ds:schemaRefs>
    <ds:schemaRef ds:uri="http://purl.org/dc/elements/1.1/"/>
    <ds:schemaRef ds:uri="http://schemas.microsoft.com/office/2006/metadata/properties"/>
    <ds:schemaRef ds:uri="5b387551-6b98-43f9-a38d-30f511256171"/>
    <ds:schemaRef ds:uri="4bee1bf6-9bee-48b0-a1e2-2c953359787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4</vt:i4>
      </vt:variant>
    </vt:vector>
  </HeadingPairs>
  <TitlesOfParts>
    <vt:vector size="15" baseType="lpstr">
      <vt:lpstr>Ansprechpartner</vt:lpstr>
      <vt:lpstr> Übersicht Umsätze </vt:lpstr>
      <vt:lpstr> Übersicht Reichweite all</vt:lpstr>
      <vt:lpstr> Übersicht Reichweite Video</vt:lpstr>
      <vt:lpstr> Übersicht eCPM</vt:lpstr>
      <vt:lpstr>Cashflow</vt:lpstr>
      <vt:lpstr>Basisdaten Rev</vt:lpstr>
      <vt:lpstr>Basisdaten Reach</vt:lpstr>
      <vt:lpstr>Liquiditätsübersicht</vt:lpstr>
      <vt:lpstr>Übersicht Feeds</vt:lpstr>
      <vt:lpstr>Video Elephant</vt:lpstr>
      <vt:lpstr>_1Excel_BuiltIn__FilterDatabase_1</vt:lpstr>
      <vt:lpstr>Ansprechpartner!Druckbereich</vt:lpstr>
      <vt:lpstr>Excel_BuiltIn__FilterDatabase_2</vt:lpstr>
      <vt:lpstr>Excel_BuiltIn__FilterDatabase_4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Weißgerber, Uli</dc:creator>
  <cp:lastModifiedBy>Martin Wald</cp:lastModifiedBy>
  <cp:lastPrinted>2014-11-03T14:14:08Z</cp:lastPrinted>
  <dcterms:created xsi:type="dcterms:W3CDTF">2015-01-20T10:52:43Z</dcterms:created>
  <dcterms:modified xsi:type="dcterms:W3CDTF">2024-09-18T15:09:58Z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0x010100CB081F9B35EAFD4DBE25464326FB5856</vt:lpwstr>
  </property>
</Properties>
</file>